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2120" activeTab="0"/>
  </bookViews>
  <sheets>
    <sheet name="Input &amp; Output" sheetId="1" r:id="rId1"/>
    <sheet name="Udskrift" sheetId="2" r:id="rId2"/>
    <sheet name="Laster" sheetId="3" r:id="rId3"/>
    <sheet name="Beregninger" sheetId="4" r:id="rId4"/>
  </sheets>
  <externalReferences>
    <externalReference r:id="rId7"/>
  </externalReferences>
  <definedNames>
    <definedName name="andel">'Laster'!$A$27:$A$36</definedName>
    <definedName name="antal">'Laster'!$A$56:$A$57</definedName>
    <definedName name="antalt">'Laster'!#REF!</definedName>
    <definedName name="antaltrapez">'Laster'!$D$57:$D$74</definedName>
    <definedName name="bjælker">'Laster'!$A$61:$A$66</definedName>
    <definedName name="bkrav">'Laster'!$D$37:$D$41</definedName>
    <definedName name="bo">'Laster'!$M$5:$M$8</definedName>
    <definedName name="brand">'Laster'!$D$39:$D$41</definedName>
    <definedName name="branddim">'Laster'!$D$37:$D$41</definedName>
    <definedName name="brandkrav">'Laster'!$D$39:$D$40</definedName>
    <definedName name="bu">'Laster'!$M$13:$M$17</definedName>
    <definedName name="elementbredde">'Laster'!$A$67:$A$84</definedName>
    <definedName name="frekvens">'Laster'!$D$27:$D$33</definedName>
    <definedName name="Funktion">'Laster'!$A$17:$A$23</definedName>
    <definedName name="installationer">'Laster'!#REF!</definedName>
    <definedName name="kontrol">'[1]Laster'!$D$56:$D$58</definedName>
    <definedName name="kontrolkl">'Laster'!$D$61:$D$63</definedName>
    <definedName name="lastu">'Laster'!$L$13:$L$16</definedName>
    <definedName name="lastunderside">'Laster'!$M$13:$M$16</definedName>
    <definedName name="min">'Laster'!$D$56:$D$57</definedName>
    <definedName name="nedbøjning">'Laster'!$A$53:$A$53</definedName>
    <definedName name="over">'Laster'!$M$5:$M$7</definedName>
    <definedName name="overside">'Laster'!$K$5:$K$6</definedName>
    <definedName name="oversideelement">'Laster'!$M$5:$M$6</definedName>
    <definedName name="sikkerhedsklasse">'Laster'!$A$50:$A$52</definedName>
    <definedName name="skive">'Laster'!$D$73:$D$74</definedName>
    <definedName name="skivekraft">'Laster'!$D$72:$D$74</definedName>
    <definedName name="sne">'Laster'!$A$55:$A$57</definedName>
    <definedName name="spænd">'Laster'!$D$61:$D$62</definedName>
    <definedName name="spændretning">'Laster'!$D$61:$D$63</definedName>
    <definedName name="spændvidde">'Laster'!$D$67:$D$68</definedName>
    <definedName name="tag">'Laster'!#REF!</definedName>
    <definedName name="terrænklasse">'Laster'!#REF!</definedName>
    <definedName name="trapez">'Laster'!$D$50:$D$52</definedName>
    <definedName name="trapezplader">'Laster'!$D$50:$D$53</definedName>
    <definedName name="underside">'Laster'!$K$13:$K$15</definedName>
    <definedName name="undersideelement">'Laster'!$M$13:$M$15</definedName>
    <definedName name="understøtning">'Laster'!$D$45:$D$46</definedName>
    <definedName name="uværdi">'Laster'!$A$40:$A$46</definedName>
  </definedNames>
  <calcPr fullCalcOnLoad="1"/>
</workbook>
</file>

<file path=xl/sharedStrings.xml><?xml version="1.0" encoding="utf-8"?>
<sst xmlns="http://schemas.openxmlformats.org/spreadsheetml/2006/main" count="561" uniqueCount="297">
  <si>
    <t>Input</t>
  </si>
  <si>
    <t>Spændvidde</t>
  </si>
  <si>
    <t>m</t>
  </si>
  <si>
    <t>Max u-værdi</t>
  </si>
  <si>
    <t>Max deformation</t>
  </si>
  <si>
    <t>mm/mm</t>
  </si>
  <si>
    <r>
      <t>kN/m</t>
    </r>
    <r>
      <rPr>
        <vertAlign val="superscript"/>
        <sz val="11"/>
        <rFont val="Times New Roman"/>
        <family val="1"/>
      </rPr>
      <t>2</t>
    </r>
  </si>
  <si>
    <r>
      <t>u</t>
    </r>
    <r>
      <rPr>
        <vertAlign val="subscript"/>
        <sz val="11"/>
        <rFont val="Times New Roman"/>
        <family val="1"/>
      </rPr>
      <t>max</t>
    </r>
  </si>
  <si>
    <t>Forudsætninger</t>
  </si>
  <si>
    <t>Beregninger</t>
  </si>
  <si>
    <t>Bjælke</t>
  </si>
  <si>
    <t>Brudmoment</t>
  </si>
  <si>
    <t>Forskydnings-</t>
  </si>
  <si>
    <t>Reaktions-</t>
  </si>
  <si>
    <t>Egenvægt</t>
  </si>
  <si>
    <t>kapacitet</t>
  </si>
  <si>
    <t xml:space="preserve"> </t>
  </si>
  <si>
    <t>[mm]</t>
  </si>
  <si>
    <t>[kN]</t>
  </si>
  <si>
    <t>[kN/m]</t>
  </si>
  <si>
    <t>type</t>
  </si>
  <si>
    <t>SD201</t>
  </si>
  <si>
    <t>SD202</t>
  </si>
  <si>
    <t>SD301</t>
  </si>
  <si>
    <t>SD302</t>
  </si>
  <si>
    <t>SD351</t>
  </si>
  <si>
    <t>SD352</t>
  </si>
  <si>
    <t>Tværsnits-</t>
  </si>
  <si>
    <t>arel</t>
  </si>
  <si>
    <t>[kNm]</t>
  </si>
  <si>
    <r>
      <t>M</t>
    </r>
    <r>
      <rPr>
        <vertAlign val="subscript"/>
        <sz val="11"/>
        <rFont val="Times New Roman"/>
        <family val="1"/>
      </rPr>
      <t>R</t>
    </r>
  </si>
  <si>
    <r>
      <t>V</t>
    </r>
    <r>
      <rPr>
        <vertAlign val="subscript"/>
        <sz val="11"/>
        <rFont val="Times New Roman"/>
        <family val="1"/>
      </rPr>
      <t>R</t>
    </r>
  </si>
  <si>
    <r>
      <t>g</t>
    </r>
    <r>
      <rPr>
        <vertAlign val="subscript"/>
        <sz val="11"/>
        <rFont val="Times New Roman"/>
        <family val="1"/>
      </rPr>
      <t>b</t>
    </r>
  </si>
  <si>
    <t>A</t>
  </si>
  <si>
    <t>I</t>
  </si>
  <si>
    <r>
      <t>[mm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</si>
  <si>
    <t>Tværsnits- og styrkeparametre</t>
  </si>
  <si>
    <t>Moment</t>
  </si>
  <si>
    <t>Nedbøjning</t>
  </si>
  <si>
    <t>Karakteristisk last</t>
  </si>
  <si>
    <t>Regningsmæssig last</t>
  </si>
  <si>
    <t>Elasticitetsmodul</t>
  </si>
  <si>
    <t>E</t>
  </si>
  <si>
    <t>Partialkoefficient</t>
  </si>
  <si>
    <t>-</t>
  </si>
  <si>
    <t>MPa</t>
  </si>
  <si>
    <t>Ophæng</t>
  </si>
  <si>
    <t>Rumvægt for stål</t>
  </si>
  <si>
    <t>ρ</t>
  </si>
  <si>
    <r>
      <t>kg/m</t>
    </r>
    <r>
      <rPr>
        <vertAlign val="superscript"/>
        <sz val="11"/>
        <rFont val="Times New Roman"/>
        <family val="1"/>
      </rPr>
      <t>3</t>
    </r>
  </si>
  <si>
    <t>Element</t>
  </si>
  <si>
    <t>vægt</t>
  </si>
  <si>
    <r>
      <t>[kg/m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</si>
  <si>
    <t>Pilhøjde</t>
  </si>
  <si>
    <t>u</t>
  </si>
  <si>
    <t xml:space="preserve">L/u </t>
  </si>
  <si>
    <t>[mm/mm]</t>
  </si>
  <si>
    <t>Output</t>
  </si>
  <si>
    <r>
      <t>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·K</t>
    </r>
  </si>
  <si>
    <t>L/u</t>
  </si>
  <si>
    <r>
      <t>I</t>
    </r>
    <r>
      <rPr>
        <vertAlign val="subscript"/>
        <sz val="11"/>
        <rFont val="Times New Roman"/>
        <family val="1"/>
      </rPr>
      <t>t</t>
    </r>
  </si>
  <si>
    <r>
      <t>[mm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]</t>
    </r>
  </si>
  <si>
    <t>Egenlast</t>
  </si>
  <si>
    <t xml:space="preserve">Egenlast </t>
  </si>
  <si>
    <t>Valg af</t>
  </si>
  <si>
    <t>bjælketype</t>
  </si>
  <si>
    <t>Bjælketypen overholder ikke alle krav</t>
  </si>
  <si>
    <t>Bjælketypen overholder alle krav, men er ikke den mest økonomiske</t>
  </si>
  <si>
    <t>Angiver at et input er krævet</t>
  </si>
  <si>
    <t>Pilhøjde efter</t>
  </si>
  <si>
    <t>tilbageslag</t>
  </si>
  <si>
    <t>Dimensionsgivende</t>
  </si>
  <si>
    <t>krav</t>
  </si>
  <si>
    <t>Brandkrav</t>
  </si>
  <si>
    <t>BS30</t>
  </si>
  <si>
    <t>BS60</t>
  </si>
  <si>
    <t>Parameter</t>
  </si>
  <si>
    <t>Værdi</t>
  </si>
  <si>
    <t>Nedbøjningskrav</t>
  </si>
  <si>
    <t>Intet krav</t>
  </si>
  <si>
    <t>U-værdi</t>
  </si>
  <si>
    <t>Bjælkebredde</t>
  </si>
  <si>
    <r>
      <t>b</t>
    </r>
    <r>
      <rPr>
        <vertAlign val="subscript"/>
        <sz val="11"/>
        <rFont val="Times New Roman"/>
        <family val="1"/>
      </rPr>
      <t>b</t>
    </r>
  </si>
  <si>
    <t>mm</t>
  </si>
  <si>
    <t>k</t>
  </si>
  <si>
    <t>Krav til u-værdi</t>
  </si>
  <si>
    <t>Trapezplade</t>
  </si>
  <si>
    <t>Understøtningsforhold</t>
  </si>
  <si>
    <t>Mellemunderstøttet</t>
  </si>
  <si>
    <t>Simpelt understøttet</t>
  </si>
  <si>
    <t>Understøtning</t>
  </si>
  <si>
    <t>Opadrettet last</t>
  </si>
  <si>
    <t>t = 0,65 mm</t>
  </si>
  <si>
    <t>t = 0,70 mm</t>
  </si>
  <si>
    <t>Nedadrettet last</t>
  </si>
  <si>
    <t>t = 0,75 mm</t>
  </si>
  <si>
    <t>Nedadrettet</t>
  </si>
  <si>
    <t>[m]</t>
  </si>
  <si>
    <r>
      <t>[kN/m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</si>
  <si>
    <t>Trapezplade HV18</t>
  </si>
  <si>
    <t>Antal trapezplader</t>
  </si>
  <si>
    <t>stk</t>
  </si>
  <si>
    <t>Fladelast installationer</t>
  </si>
  <si>
    <t>Areal</t>
  </si>
  <si>
    <t>Trug</t>
  </si>
  <si>
    <r>
      <t>A</t>
    </r>
    <r>
      <rPr>
        <vertAlign val="subscript"/>
        <sz val="11"/>
        <rFont val="Times New Roman"/>
        <family val="1"/>
      </rPr>
      <t>t</t>
    </r>
  </si>
  <si>
    <t>Inertimo-</t>
  </si>
  <si>
    <t>ment brutto</t>
  </si>
  <si>
    <t>ment trug</t>
  </si>
  <si>
    <t>ment</t>
  </si>
  <si>
    <r>
      <t>I</t>
    </r>
    <r>
      <rPr>
        <vertAlign val="subscript"/>
        <sz val="11"/>
        <rFont val="Times New Roman"/>
        <family val="1"/>
      </rPr>
      <t>b</t>
    </r>
  </si>
  <si>
    <t>350 mm isolering</t>
  </si>
  <si>
    <t>Dampspærre</t>
  </si>
  <si>
    <t>I alt</t>
  </si>
  <si>
    <t>Egenlast overside</t>
  </si>
  <si>
    <t>Nr.</t>
  </si>
  <si>
    <t>Betegnelse</t>
  </si>
  <si>
    <t>Last</t>
  </si>
  <si>
    <t>Overside</t>
  </si>
  <si>
    <t>Underside</t>
  </si>
  <si>
    <t>Egenlast underside</t>
  </si>
  <si>
    <t>Egenlast element</t>
  </si>
  <si>
    <t>Type af overside</t>
  </si>
  <si>
    <t>Type af underside</t>
  </si>
  <si>
    <t>200-350 mm isolering</t>
  </si>
  <si>
    <t>EN 1990/Eurocode 0 - Sikkerhed</t>
  </si>
  <si>
    <t>EN 1991/Eurocode 1 - Laster</t>
  </si>
  <si>
    <t>EN 1993/Eurocode 3 - Stålkonstruktioner</t>
  </si>
  <si>
    <t>Konsekvensklasse</t>
  </si>
  <si>
    <t>Lav (1)</t>
  </si>
  <si>
    <t>Middel (2)</t>
  </si>
  <si>
    <t>Høj (3)</t>
  </si>
  <si>
    <r>
      <t>γ</t>
    </r>
    <r>
      <rPr>
        <vertAlign val="subscript"/>
        <sz val="11"/>
        <rFont val="Times New Roman"/>
        <family val="1"/>
      </rPr>
      <t>3</t>
    </r>
  </si>
  <si>
    <r>
      <t>R</t>
    </r>
    <r>
      <rPr>
        <vertAlign val="subscript"/>
        <sz val="11"/>
        <rFont val="Times New Roman"/>
        <family val="1"/>
      </rPr>
      <t>R,ende</t>
    </r>
  </si>
  <si>
    <r>
      <t>R</t>
    </r>
    <r>
      <rPr>
        <vertAlign val="subscript"/>
        <sz val="11"/>
        <rFont val="Times New Roman"/>
        <family val="1"/>
      </rPr>
      <t>R,mellem</t>
    </r>
  </si>
  <si>
    <t>Styrkeparametre ved brand</t>
  </si>
  <si>
    <r>
      <t>M</t>
    </r>
    <r>
      <rPr>
        <vertAlign val="subscript"/>
        <sz val="11"/>
        <rFont val="Times New Roman"/>
        <family val="1"/>
      </rPr>
      <t>R,b</t>
    </r>
  </si>
  <si>
    <r>
      <t>R</t>
    </r>
    <r>
      <rPr>
        <vertAlign val="subscript"/>
        <sz val="11"/>
        <rFont val="Times New Roman"/>
        <family val="1"/>
      </rPr>
      <t>R,b,ende</t>
    </r>
  </si>
  <si>
    <r>
      <t>R</t>
    </r>
    <r>
      <rPr>
        <vertAlign val="subscript"/>
        <sz val="11"/>
        <rFont val="Times New Roman"/>
        <family val="1"/>
      </rPr>
      <t>R,b,mellem</t>
    </r>
  </si>
  <si>
    <t>Brand</t>
  </si>
  <si>
    <r>
      <t>G</t>
    </r>
    <r>
      <rPr>
        <vertAlign val="subscript"/>
        <sz val="11"/>
        <rFont val="Times New Roman"/>
        <family val="1"/>
      </rPr>
      <t>op</t>
    </r>
  </si>
  <si>
    <t>Skiveforskydningskraft</t>
  </si>
  <si>
    <t>kN/m</t>
  </si>
  <si>
    <t>Middel</t>
  </si>
  <si>
    <t>Clinch-</t>
  </si>
  <si>
    <t>afstand</t>
  </si>
  <si>
    <t>Mest økonomisk bjælketype i hht. stålforbrug, som overholder alle krav</t>
  </si>
  <si>
    <t>Laster</t>
  </si>
  <si>
    <t>Bjælketype</t>
  </si>
  <si>
    <t>Ekskl. SkanDekbjælker</t>
  </si>
  <si>
    <t>Øvrige laster</t>
  </si>
  <si>
    <t>SkanDekelement</t>
  </si>
  <si>
    <t>Nødvendig</t>
  </si>
  <si>
    <t>last</t>
  </si>
  <si>
    <r>
      <t>[kN/m</t>
    </r>
    <r>
      <rPr>
        <sz val="11"/>
        <rFont val="Times New Roman"/>
        <family val="1"/>
      </rPr>
      <t>]</t>
    </r>
  </si>
  <si>
    <t>Clinhsamling</t>
  </si>
  <si>
    <t>Fu</t>
  </si>
  <si>
    <t>Fud</t>
  </si>
  <si>
    <t>Godstykkelse</t>
  </si>
  <si>
    <t>For flydning</t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</si>
  <si>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= 1,10*γ</t>
    </r>
    <r>
      <rPr>
        <vertAlign val="subscript"/>
        <sz val="11"/>
        <rFont val="Times New Roman"/>
        <family val="1"/>
      </rPr>
      <t>3</t>
    </r>
  </si>
  <si>
    <t>For brud</t>
  </si>
  <si>
    <t>Minimumspilhøjde</t>
  </si>
  <si>
    <t>Ja</t>
  </si>
  <si>
    <t>Nej</t>
  </si>
  <si>
    <t>For konsekvensklasse</t>
  </si>
  <si>
    <t>Faktisk spændvidde</t>
  </si>
  <si>
    <t>Ekskl. SkanDek bjælker</t>
  </si>
  <si>
    <t>Samlet egenlast</t>
  </si>
  <si>
    <t>Reaktionskapacitet</t>
  </si>
  <si>
    <t>Materialekontrolklasse</t>
  </si>
  <si>
    <t>Normal</t>
  </si>
  <si>
    <t>Skærpet</t>
  </si>
  <si>
    <t>Lempet</t>
  </si>
  <si>
    <r>
      <t>K</t>
    </r>
    <r>
      <rPr>
        <vertAlign val="subscript"/>
        <sz val="11"/>
        <rFont val="Times New Roman"/>
        <family val="1"/>
      </rPr>
      <t>FI</t>
    </r>
  </si>
  <si>
    <t>For materialekontrolklasse</t>
  </si>
  <si>
    <t>Ved montage</t>
  </si>
  <si>
    <r>
      <t>γ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= 1,35*γ</t>
    </r>
    <r>
      <rPr>
        <vertAlign val="subscript"/>
        <sz val="11"/>
        <rFont val="Times New Roman"/>
        <family val="1"/>
      </rPr>
      <t>3</t>
    </r>
  </si>
  <si>
    <t>V</t>
  </si>
  <si>
    <t>Total længde</t>
  </si>
  <si>
    <r>
      <t>L</t>
    </r>
    <r>
      <rPr>
        <vertAlign val="subscript"/>
        <sz val="11"/>
        <rFont val="Times New Roman"/>
        <family val="1"/>
      </rPr>
      <t>t</t>
    </r>
  </si>
  <si>
    <t>5 kN/m</t>
  </si>
  <si>
    <r>
      <t>0,10 kN/m</t>
    </r>
    <r>
      <rPr>
        <vertAlign val="superscript"/>
        <sz val="11"/>
        <rFont val="Times New Roman"/>
        <family val="1"/>
      </rPr>
      <t>2</t>
    </r>
  </si>
  <si>
    <r>
      <t>0,3 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·K</t>
    </r>
  </si>
  <si>
    <t>TF20, trapezplade</t>
  </si>
  <si>
    <t>Spredt forskalling</t>
  </si>
  <si>
    <t>Spredt forskalling med isolering</t>
  </si>
  <si>
    <t>Anvendes brandgips</t>
  </si>
  <si>
    <t>Brandisolering på underside</t>
  </si>
  <si>
    <t>Vejledende værdi</t>
  </si>
  <si>
    <t>Specielt spænd for trapezplade</t>
  </si>
  <si>
    <t>Spændvidde 2</t>
  </si>
  <si>
    <t>Spændvidde for 2. fag</t>
  </si>
  <si>
    <t>Ekstra egenlast tag</t>
  </si>
  <si>
    <t>Ekstra egenlast loft</t>
  </si>
  <si>
    <t>Evt. ekstra egenlast for tagopbygning</t>
  </si>
  <si>
    <t>Evt. ekstra egenlast for loft</t>
  </si>
  <si>
    <t>Angiver at input er valgfrit. Hvis intet angives anvendes den vejledende værdi</t>
  </si>
  <si>
    <r>
      <t>G</t>
    </r>
    <r>
      <rPr>
        <vertAlign val="subscript"/>
        <sz val="11"/>
        <rFont val="Times New Roman"/>
        <family val="1"/>
      </rPr>
      <t>montage</t>
    </r>
  </si>
  <si>
    <r>
      <t>G</t>
    </r>
    <r>
      <rPr>
        <vertAlign val="subscript"/>
        <sz val="11"/>
        <rFont val="Times New Roman"/>
        <family val="1"/>
      </rPr>
      <t>loft</t>
    </r>
  </si>
  <si>
    <r>
      <t>G</t>
    </r>
    <r>
      <rPr>
        <vertAlign val="subscript"/>
        <sz val="11"/>
        <rFont val="Times New Roman"/>
        <family val="1"/>
      </rPr>
      <t>skandek</t>
    </r>
  </si>
  <si>
    <t>Egenlast trapezplade</t>
  </si>
  <si>
    <t>Deformation</t>
  </si>
  <si>
    <t>Anvendes pilhøjde</t>
  </si>
  <si>
    <t>Nedbøjning ved</t>
  </si>
  <si>
    <t>pilhøjde</t>
  </si>
  <si>
    <t>Nedbøjning uden</t>
  </si>
  <si>
    <t>Resultat</t>
  </si>
  <si>
    <t>Installationer</t>
  </si>
  <si>
    <r>
      <t>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= L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-L</t>
    </r>
    <r>
      <rPr>
        <vertAlign val="subscript"/>
        <sz val="11"/>
        <rFont val="Times New Roman"/>
        <family val="1"/>
      </rPr>
      <t>1</t>
    </r>
  </si>
  <si>
    <r>
      <t>L</t>
    </r>
    <r>
      <rPr>
        <vertAlign val="subscript"/>
        <sz val="11"/>
        <rFont val="Times New Roman"/>
        <family val="1"/>
      </rPr>
      <t>1</t>
    </r>
  </si>
  <si>
    <t>ved produktion</t>
  </si>
  <si>
    <t>Valgt pilhøjde</t>
  </si>
  <si>
    <t>BD30</t>
  </si>
  <si>
    <t>Last for installationer regnes som en variabel last og medtages ved deformationsbergninger</t>
  </si>
  <si>
    <t>Nyttelast</t>
  </si>
  <si>
    <t>Funktion</t>
  </si>
  <si>
    <t>Bygningsfunktion</t>
  </si>
  <si>
    <t>Bolig</t>
  </si>
  <si>
    <t>Kontor</t>
  </si>
  <si>
    <t>Samlingrum m. bordopstilling</t>
  </si>
  <si>
    <t>Samlingsrum m. faste pladser</t>
  </si>
  <si>
    <t>Samlingsrum u. bordopstilling</t>
  </si>
  <si>
    <t>Mindre butikker</t>
  </si>
  <si>
    <t>Større butikker</t>
  </si>
  <si>
    <t>Vejledende deformationskrav til etagedæk er i hht. EN 1990 L/400</t>
  </si>
  <si>
    <t>400 mm/mm</t>
  </si>
  <si>
    <t>N</t>
  </si>
  <si>
    <t>Ekstra egenlast gulv</t>
  </si>
  <si>
    <r>
      <t>G</t>
    </r>
    <r>
      <rPr>
        <vertAlign val="subscript"/>
        <sz val="11"/>
        <rFont val="Times New Roman"/>
        <family val="1"/>
      </rPr>
      <t>gulv</t>
    </r>
  </si>
  <si>
    <t>Anvendelse</t>
  </si>
  <si>
    <t>Ingen pilhøjde</t>
  </si>
  <si>
    <t>Brud</t>
  </si>
  <si>
    <r>
      <t>q</t>
    </r>
    <r>
      <rPr>
        <vertAlign val="subscript"/>
        <sz val="11"/>
        <rFont val="Times New Roman"/>
        <family val="1"/>
      </rPr>
      <t>k</t>
    </r>
    <r>
      <rPr>
        <sz val="11"/>
        <rFont val="Times New Roman"/>
        <family val="1"/>
      </rPr>
      <t xml:space="preserve"> = G+G</t>
    </r>
    <r>
      <rPr>
        <vertAlign val="subscript"/>
        <sz val="11"/>
        <rFont val="Times New Roman"/>
        <family val="1"/>
      </rPr>
      <t>op</t>
    </r>
    <r>
      <rPr>
        <sz val="11"/>
        <rFont val="Times New Roman"/>
        <family val="1"/>
      </rPr>
      <t>+N</t>
    </r>
  </si>
  <si>
    <r>
      <t>q</t>
    </r>
    <r>
      <rPr>
        <vertAlign val="subscript"/>
        <sz val="11"/>
        <rFont val="Times New Roman"/>
        <family val="1"/>
      </rPr>
      <t>d,s</t>
    </r>
    <r>
      <rPr>
        <sz val="11"/>
        <rFont val="Times New Roman"/>
        <family val="1"/>
      </rPr>
      <t xml:space="preserve"> = K</t>
    </r>
    <r>
      <rPr>
        <vertAlign val="subscript"/>
        <sz val="11"/>
        <rFont val="Times New Roman"/>
        <family val="1"/>
      </rPr>
      <t>FI</t>
    </r>
    <r>
      <rPr>
        <sz val="11"/>
        <rFont val="Times New Roman"/>
        <family val="1"/>
      </rPr>
      <t>*(1,5*N</t>
    </r>
    <r>
      <rPr>
        <sz val="11"/>
        <rFont val="Times New Roman"/>
        <family val="1"/>
      </rPr>
      <t>+G+G</t>
    </r>
    <r>
      <rPr>
        <vertAlign val="subscript"/>
        <sz val="11"/>
        <rFont val="Times New Roman"/>
        <family val="1"/>
      </rPr>
      <t>op</t>
    </r>
    <r>
      <rPr>
        <sz val="11"/>
        <rFont val="Times New Roman"/>
        <family val="1"/>
      </rPr>
      <t>)</t>
    </r>
  </si>
  <si>
    <r>
      <t>q</t>
    </r>
    <r>
      <rPr>
        <vertAlign val="subscript"/>
        <sz val="11"/>
        <rFont val="Times New Roman"/>
        <family val="1"/>
      </rPr>
      <t>d,vs</t>
    </r>
    <r>
      <rPr>
        <sz val="11"/>
        <rFont val="Times New Roman"/>
        <family val="1"/>
      </rPr>
      <t xml:space="preserve"> = K</t>
    </r>
    <r>
      <rPr>
        <vertAlign val="subscript"/>
        <sz val="11"/>
        <rFont val="Times New Roman"/>
        <family val="1"/>
      </rPr>
      <t>FI</t>
    </r>
    <r>
      <rPr>
        <sz val="11"/>
        <rFont val="Times New Roman"/>
        <family val="1"/>
      </rPr>
      <t>*1,5*N+G</t>
    </r>
    <r>
      <rPr>
        <vertAlign val="subscript"/>
        <sz val="11"/>
        <rFont val="Times New Roman"/>
        <family val="1"/>
      </rPr>
      <t>trapez</t>
    </r>
  </si>
  <si>
    <r>
      <t>G</t>
    </r>
    <r>
      <rPr>
        <vertAlign val="subscript"/>
        <sz val="11"/>
        <rFont val="Times New Roman"/>
        <family val="1"/>
      </rPr>
      <t>trapez</t>
    </r>
    <r>
      <rPr>
        <sz val="11"/>
        <rFont val="Times New Roman"/>
        <family val="1"/>
      </rPr>
      <t xml:space="preserve"> = G</t>
    </r>
    <r>
      <rPr>
        <vertAlign val="subscript"/>
        <sz val="11"/>
        <rFont val="Times New Roman"/>
        <family val="1"/>
      </rPr>
      <t>skandek,overside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gulv</t>
    </r>
  </si>
  <si>
    <r>
      <t>G = G</t>
    </r>
    <r>
      <rPr>
        <vertAlign val="subscript"/>
        <sz val="11"/>
        <rFont val="Times New Roman"/>
        <family val="1"/>
      </rPr>
      <t>skandek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gulv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loft</t>
    </r>
  </si>
  <si>
    <t>endevederlag</t>
  </si>
  <si>
    <t>Reaktion</t>
  </si>
  <si>
    <t xml:space="preserve">Reaktion </t>
  </si>
  <si>
    <t>mellemunderstøtning</t>
  </si>
  <si>
    <t>Frekvens</t>
  </si>
  <si>
    <t>Samtidighedskoefficient</t>
  </si>
  <si>
    <t>Anvendes ved brand</t>
  </si>
  <si>
    <r>
      <t>q</t>
    </r>
    <r>
      <rPr>
        <vertAlign val="subscript"/>
        <sz val="11"/>
        <rFont val="Times New Roman"/>
        <family val="1"/>
      </rPr>
      <t>d,b</t>
    </r>
    <r>
      <rPr>
        <sz val="11"/>
        <rFont val="Times New Roman"/>
        <family val="1"/>
      </rPr>
      <t xml:space="preserve"> = ψ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*N+1*G+1*G</t>
    </r>
    <r>
      <rPr>
        <vertAlign val="subscript"/>
        <sz val="11"/>
        <rFont val="Times New Roman"/>
        <family val="1"/>
      </rPr>
      <t>op</t>
    </r>
  </si>
  <si>
    <t>Procent nyttelast</t>
  </si>
  <si>
    <t>p</t>
  </si>
  <si>
    <t>Nyttelast ved frekvensberegning</t>
  </si>
  <si>
    <r>
      <t>N</t>
    </r>
    <r>
      <rPr>
        <vertAlign val="subscript"/>
        <sz val="11"/>
        <rFont val="Times New Roman"/>
        <family val="1"/>
      </rPr>
      <t>p</t>
    </r>
  </si>
  <si>
    <t>Samtidighedsfaktor</t>
  </si>
  <si>
    <r>
      <t>Last [kN/m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</si>
  <si>
    <t>Faktor</t>
  </si>
  <si>
    <t>%</t>
  </si>
  <si>
    <t>Procentdel af nyttelasten som medregnes ved frekvensberegning</t>
  </si>
  <si>
    <r>
      <t>q</t>
    </r>
    <r>
      <rPr>
        <vertAlign val="subscript"/>
        <sz val="11"/>
        <rFont val="Times New Roman"/>
        <family val="1"/>
      </rPr>
      <t>d,s</t>
    </r>
    <r>
      <rPr>
        <sz val="11"/>
        <rFont val="Times New Roman"/>
        <family val="1"/>
      </rPr>
      <t xml:space="preserve"> = N</t>
    </r>
    <r>
      <rPr>
        <vertAlign val="subscript"/>
        <sz val="11"/>
        <rFont val="Times New Roman"/>
        <family val="1"/>
      </rPr>
      <t>p</t>
    </r>
    <r>
      <rPr>
        <sz val="11"/>
        <rFont val="Times New Roman"/>
        <family val="1"/>
      </rPr>
      <t>+G+G</t>
    </r>
    <r>
      <rPr>
        <vertAlign val="subscript"/>
        <sz val="11"/>
        <rFont val="Times New Roman"/>
        <family val="1"/>
      </rPr>
      <t>op</t>
    </r>
  </si>
  <si>
    <t>[Hz]</t>
  </si>
  <si>
    <t>K</t>
  </si>
  <si>
    <t>Krav til minimum egenfrekvens</t>
  </si>
  <si>
    <t>Minimum frekvens</t>
  </si>
  <si>
    <t>5 Hz</t>
  </si>
  <si>
    <r>
      <t>f</t>
    </r>
    <r>
      <rPr>
        <vertAlign val="subscript"/>
        <sz val="11"/>
        <rFont val="Times New Roman"/>
        <family val="1"/>
      </rPr>
      <t>min</t>
    </r>
  </si>
  <si>
    <t>Hz</t>
  </si>
  <si>
    <r>
      <t>ψ</t>
    </r>
    <r>
      <rPr>
        <vertAlign val="subscript"/>
        <sz val="11"/>
        <rFont val="Times New Roman"/>
        <family val="1"/>
      </rPr>
      <t>2</t>
    </r>
  </si>
  <si>
    <t>Egenfrekvens</t>
  </si>
  <si>
    <t>Nyttelast fastsættes automatisk i henhold til valgt bygningsfunktion*</t>
  </si>
  <si>
    <t xml:space="preserve">*Det er en foudsætning at der anvendes en gulvopbygning der kan fordele evt. punktlaster til en fladelast, </t>
  </si>
  <si>
    <t>ende</t>
  </si>
  <si>
    <t>midt</t>
  </si>
  <si>
    <t>Krav til frekvens</t>
  </si>
  <si>
    <t>Dimensionsgivende krav</t>
  </si>
  <si>
    <t>BD60</t>
  </si>
  <si>
    <t>OK</t>
  </si>
  <si>
    <t>Ikke OK</t>
  </si>
  <si>
    <t>Min c-c afstand</t>
  </si>
  <si>
    <r>
      <t>c</t>
    </r>
    <r>
      <rPr>
        <vertAlign val="subscript"/>
        <sz val="11"/>
        <rFont val="Times New Roman"/>
        <family val="1"/>
      </rPr>
      <t>min</t>
    </r>
  </si>
  <si>
    <t>Maksimal c-c afstand [m]</t>
  </si>
  <si>
    <t>Maksimal c-c afstand ved brand [m]</t>
  </si>
  <si>
    <t>c-c</t>
  </si>
  <si>
    <t>Maksimal c-c afstand</t>
  </si>
  <si>
    <t>n = 3 stk</t>
  </si>
  <si>
    <t>Godstyk.\Spænd</t>
  </si>
  <si>
    <t>c</t>
  </si>
  <si>
    <t xml:space="preserve">Opbygning </t>
  </si>
  <si>
    <t>Egenlasten angivet i tabellen angiver den samlede egenlast for de anførte laster for evt. ekstar egenlast af gulv og loft samt egenlast af SkanDekbjælkjerne.</t>
  </si>
  <si>
    <t>For bjælker uden pilhøjde medregnes ligeledes bjælkens egenlast ved beregning af nedbøjningen.</t>
  </si>
  <si>
    <t>Andet</t>
  </si>
  <si>
    <t>c-c afstand bjælker</t>
  </si>
  <si>
    <t>Trapezplade, TF30</t>
  </si>
  <si>
    <t>Trapezplade, TF30, underpap</t>
  </si>
  <si>
    <t>Forudsætninger for beregning af SkanDekbjælke til etagedæk</t>
  </si>
  <si>
    <t>Anvendes kun for mellemunderstøttede bjælker</t>
  </si>
  <si>
    <t>Her vælges Nej, hvis bjælkerne laves uden pilhøjde</t>
  </si>
  <si>
    <t>Nedbøjningen er for bjælker med pilhøjde beregnet for 1,0 x egenlast + 1,0 x nyttelast + 1,0 x last fra installationer.</t>
  </si>
  <si>
    <t>da trapezpladen på oversiden ikke kan optage større punktlaster.</t>
  </si>
  <si>
    <t>Normgrundlag</t>
  </si>
  <si>
    <t>Opdateret April 2010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</si>
</sst>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0"/>
    <numFmt numFmtId="178" formatCode="0.0000000"/>
    <numFmt numFmtId="179" formatCode="#,##0.0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5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0" fontId="37" fillId="24" borderId="3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vertical="justify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 vertical="justify"/>
    </xf>
    <xf numFmtId="2" fontId="2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72" fontId="2" fillId="0" borderId="16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72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justify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22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justify"/>
    </xf>
    <xf numFmtId="2" fontId="2" fillId="0" borderId="1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/>
    </xf>
    <xf numFmtId="0" fontId="6" fillId="0" borderId="14" xfId="0" applyFont="1" applyBorder="1" applyAlignment="1">
      <alignment/>
    </xf>
    <xf numFmtId="0" fontId="2" fillId="0" borderId="20" xfId="0" applyFont="1" applyBorder="1" applyAlignment="1">
      <alignment horizontal="center" vertical="justify"/>
    </xf>
    <xf numFmtId="0" fontId="2" fillId="0" borderId="2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justify"/>
    </xf>
    <xf numFmtId="2" fontId="2" fillId="0" borderId="16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1" fontId="2" fillId="0" borderId="11" xfId="0" applyNumberFormat="1" applyFont="1" applyBorder="1" applyAlignment="1">
      <alignment horizontal="right"/>
    </xf>
    <xf numFmtId="172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1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79" fontId="2" fillId="0" borderId="11" xfId="0" applyNumberFormat="1" applyFont="1" applyBorder="1" applyAlignment="1">
      <alignment horizontal="right"/>
    </xf>
    <xf numFmtId="179" fontId="2" fillId="0" borderId="11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172" fontId="2" fillId="0" borderId="1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172" fontId="2" fillId="0" borderId="13" xfId="0" applyNumberFormat="1" applyFont="1" applyBorder="1" applyAlignment="1">
      <alignment/>
    </xf>
    <xf numFmtId="9" fontId="2" fillId="0" borderId="18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justify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172" fontId="2" fillId="0" borderId="15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2" fontId="2" fillId="36" borderId="14" xfId="0" applyNumberFormat="1" applyFont="1" applyFill="1" applyBorder="1" applyAlignment="1">
      <alignment/>
    </xf>
    <xf numFmtId="17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2" fillId="36" borderId="1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36" borderId="11" xfId="0" applyNumberFormat="1" applyFont="1" applyFill="1" applyBorder="1" applyAlignment="1">
      <alignment/>
    </xf>
    <xf numFmtId="0" fontId="0" fillId="36" borderId="0" xfId="0" applyFill="1" applyBorder="1" applyAlignment="1">
      <alignment horizontal="right"/>
    </xf>
    <xf numFmtId="172" fontId="2" fillId="36" borderId="11" xfId="0" applyNumberFormat="1" applyFont="1" applyFill="1" applyBorder="1" applyAlignment="1">
      <alignment horizontal="right"/>
    </xf>
    <xf numFmtId="172" fontId="0" fillId="36" borderId="0" xfId="0" applyNumberFormat="1" applyFill="1" applyBorder="1" applyAlignment="1">
      <alignment horizontal="right"/>
    </xf>
    <xf numFmtId="0" fontId="2" fillId="37" borderId="11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172" fontId="0" fillId="0" borderId="0" xfId="0" applyNumberFormat="1" applyBorder="1" applyAlignment="1">
      <alignment/>
    </xf>
    <xf numFmtId="2" fontId="2" fillId="36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0" fontId="2" fillId="37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37" borderId="15" xfId="0" applyFont="1" applyFill="1" applyBorder="1" applyAlignment="1">
      <alignment horizontal="right"/>
    </xf>
    <xf numFmtId="0" fontId="0" fillId="37" borderId="19" xfId="0" applyFill="1" applyBorder="1" applyAlignment="1">
      <alignment/>
    </xf>
    <xf numFmtId="0" fontId="0" fillId="37" borderId="0" xfId="0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aged&#230;k%20elemen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&amp; Output"/>
      <sheetName val="Udskrift"/>
      <sheetName val="Laster"/>
      <sheetName val="Beregninger"/>
    </sheetNames>
    <sheetDataSet>
      <sheetData sheetId="2">
        <row r="56">
          <cell r="D56" t="str">
            <v>Ja</v>
          </cell>
        </row>
        <row r="57">
          <cell r="D57" t="str">
            <v>Nej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9.421875" style="0" customWidth="1"/>
    <col min="2" max="2" width="26.8515625" style="0" customWidth="1"/>
    <col min="3" max="3" width="10.7109375" style="0" customWidth="1"/>
    <col min="4" max="4" width="11.00390625" style="0" customWidth="1"/>
    <col min="5" max="5" width="12.00390625" style="0" bestFit="1" customWidth="1"/>
    <col min="6" max="6" width="11.421875" style="0" customWidth="1"/>
    <col min="7" max="7" width="13.8515625" style="0" customWidth="1"/>
    <col min="8" max="8" width="12.00390625" style="0" bestFit="1" customWidth="1"/>
    <col min="9" max="9" width="12.00390625" style="0" customWidth="1"/>
    <col min="10" max="10" width="14.00390625" style="0" customWidth="1"/>
    <col min="11" max="11" width="14.421875" style="0" customWidth="1"/>
    <col min="12" max="12" width="16.8515625" style="0" customWidth="1"/>
  </cols>
  <sheetData>
    <row r="1" ht="12.75">
      <c r="B1" t="s">
        <v>296</v>
      </c>
    </row>
    <row r="2" spans="1:16" ht="15">
      <c r="A2" s="1" t="s">
        <v>295</v>
      </c>
      <c r="B2" s="2"/>
      <c r="C2" s="2"/>
      <c r="D2" s="2"/>
      <c r="E2" s="2"/>
      <c r="F2" s="2"/>
      <c r="G2" s="2"/>
      <c r="H2" s="2"/>
      <c r="I2" s="2"/>
      <c r="J2" s="2"/>
      <c r="L2" s="28" t="s">
        <v>89</v>
      </c>
      <c r="M2" s="2"/>
      <c r="N2" s="2"/>
      <c r="O2" s="2"/>
      <c r="P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L3" s="2"/>
      <c r="M3" s="2"/>
      <c r="N3" s="2"/>
      <c r="O3" s="2"/>
    </row>
    <row r="4" spans="1:16" ht="15">
      <c r="A4" s="2" t="s">
        <v>125</v>
      </c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 t="s">
        <v>126</v>
      </c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">
      <c r="A6" s="2" t="s">
        <v>127</v>
      </c>
      <c r="B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74"/>
      <c r="B10" s="2"/>
      <c r="C10" s="2" t="s">
        <v>68</v>
      </c>
      <c r="D10" s="2"/>
      <c r="E10" s="2"/>
      <c r="F10" s="2"/>
      <c r="G10" s="2"/>
      <c r="H10" s="2"/>
      <c r="I10" s="2"/>
      <c r="J10" s="2"/>
      <c r="L10" s="28" t="s">
        <v>88</v>
      </c>
      <c r="M10" s="2"/>
      <c r="N10" s="2"/>
      <c r="O10" s="2"/>
      <c r="P10" s="2"/>
    </row>
    <row r="11" spans="1:16" ht="15">
      <c r="A11" s="80"/>
      <c r="B11" s="2"/>
      <c r="C11" s="2" t="s">
        <v>197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">
      <c r="A12" s="7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0" ht="15">
      <c r="A13" s="58" t="s">
        <v>76</v>
      </c>
      <c r="B13" s="2"/>
      <c r="C13" s="58" t="s">
        <v>77</v>
      </c>
      <c r="D13" s="58"/>
      <c r="F13" s="58"/>
      <c r="G13" s="164" t="s">
        <v>189</v>
      </c>
      <c r="H13" s="113"/>
      <c r="I13" s="113"/>
      <c r="J13" s="2"/>
    </row>
    <row r="14" spans="1:10" ht="15">
      <c r="A14" s="29" t="s">
        <v>166</v>
      </c>
      <c r="B14" s="30"/>
      <c r="C14" s="193">
        <v>8</v>
      </c>
      <c r="D14" s="194"/>
      <c r="E14" s="195"/>
      <c r="F14" s="146" t="s">
        <v>2</v>
      </c>
      <c r="G14" s="31"/>
      <c r="H14" s="157">
        <f>IF(C15="Mellemunderstøttet",IF(C16&gt;2*C14,"Længste fag skal anvendes",""),"")</f>
      </c>
      <c r="I14" s="157"/>
      <c r="J14" s="2"/>
    </row>
    <row r="15" spans="1:10" ht="15">
      <c r="A15" s="32" t="s">
        <v>87</v>
      </c>
      <c r="B15" s="8"/>
      <c r="C15" s="196" t="s">
        <v>89</v>
      </c>
      <c r="D15" s="197"/>
      <c r="E15" s="198"/>
      <c r="F15" s="47"/>
      <c r="G15" s="33"/>
      <c r="H15" s="157">
        <f>IF(C15="Simpelt understøttet",IF(C14&gt;22,"Max længde overskredet!",""),IF(C15="Mellemunderstøttet",IF(C16&gt;22,"Max længde overskredet!","")))</f>
      </c>
      <c r="I15" s="157"/>
      <c r="J15" s="2"/>
    </row>
    <row r="16" spans="1:10" ht="15">
      <c r="A16" s="32" t="s">
        <v>179</v>
      </c>
      <c r="B16" s="8"/>
      <c r="C16" s="204">
        <v>8</v>
      </c>
      <c r="D16" s="208"/>
      <c r="E16" s="208"/>
      <c r="F16" s="47" t="s">
        <v>2</v>
      </c>
      <c r="G16" s="33"/>
      <c r="H16" s="2" t="s">
        <v>291</v>
      </c>
      <c r="I16" s="2"/>
      <c r="J16" s="2"/>
    </row>
    <row r="17" spans="1:10" ht="15">
      <c r="A17" s="32" t="s">
        <v>122</v>
      </c>
      <c r="B17" s="8"/>
      <c r="C17" s="196" t="s">
        <v>288</v>
      </c>
      <c r="D17" s="198"/>
      <c r="E17" s="198"/>
      <c r="F17" s="47"/>
      <c r="G17" s="33"/>
      <c r="H17" s="145">
        <f>IF(C19="Ja","",IF(C34="Intet krav",IF(C17="Andet","Egenlast skal indtastes manuelt som ekstra egenlast for gulv",""),IF(C17="Andet","Valg af underside ikke OK pga. brandkrav",IF(C17="Trapezplade",IF(C34="BD60","TF30 nødvendig på oversiden pga. brandkrav",IF(C34="BS60","TF30 nødvendig på oversiden pga. brandkrav","")),""))))</f>
      </c>
      <c r="I17" s="8"/>
      <c r="J17" s="2"/>
    </row>
    <row r="18" spans="1:11" ht="15">
      <c r="A18" s="32" t="s">
        <v>123</v>
      </c>
      <c r="B18" s="8"/>
      <c r="C18" s="196" t="s">
        <v>184</v>
      </c>
      <c r="D18" s="198"/>
      <c r="E18" s="198"/>
      <c r="F18" s="47"/>
      <c r="G18" s="33"/>
      <c r="H18" s="145">
        <f>IF(C19="Ja","",IF(C34="Intet krav",IF(C18="Andet","Egenlast skal indtastes manuelt som ekstra egenlast for loft",""),IF(C18="Andet","Valg af underside ikke OK pga. brandkrav",IF(C34="BD30",IF(C18="Trapezplade","",IF(C18="TF20, Trapezplade","",IF(C18="Andet","Valg af underside ikke OK pga. brandkrav","2 stk. 12,5 mm gipsplader skal anvendes på undersiden pga. brandkrav. Egenlast indtastes manuelt som ekstra egenlast for loft"))),IF(C34="BS30",IF(C18="Trapezplade","",IF(C18="TF20, trapezplade","","Trapezplade nødvendig på undersiden pga. brandkrav")),IF(C34="BD60",IF(C18="TF20, trapezplade","","TF20 og trapezplade nødvendig på undersiden pga. brandkrav"),IF(C34="BS60",IF(C18="TF20, trapezplade","","TF20 og trapezplade nødvendig på undersiden pga. brandkrav"))))))))</f>
      </c>
      <c r="I18" s="145"/>
      <c r="J18" s="8"/>
      <c r="K18" s="2"/>
    </row>
    <row r="19" spans="1:11" ht="15">
      <c r="A19" s="32" t="s">
        <v>187</v>
      </c>
      <c r="B19" s="8"/>
      <c r="C19" s="196" t="s">
        <v>164</v>
      </c>
      <c r="D19" s="198"/>
      <c r="E19" s="198"/>
      <c r="F19" s="47"/>
      <c r="G19" s="33"/>
      <c r="H19" s="145">
        <f>IF(C19="Nej","","Egenlast af brandgips skal indtastes manuelt som ekstra egenlast")</f>
      </c>
      <c r="I19" s="145"/>
      <c r="J19" s="8"/>
      <c r="K19" s="2"/>
    </row>
    <row r="20" spans="1:11" ht="18">
      <c r="A20" s="32" t="s">
        <v>121</v>
      </c>
      <c r="B20" s="8"/>
      <c r="C20" s="210">
        <f>Laster!E8</f>
        <v>0.3708</v>
      </c>
      <c r="D20" s="198"/>
      <c r="E20" s="198"/>
      <c r="F20" s="47" t="s">
        <v>6</v>
      </c>
      <c r="G20" s="33"/>
      <c r="H20" s="8" t="s">
        <v>167</v>
      </c>
      <c r="I20" s="8"/>
      <c r="J20" s="8"/>
      <c r="K20" s="2"/>
    </row>
    <row r="21" spans="1:17" ht="18">
      <c r="A21" s="32" t="s">
        <v>228</v>
      </c>
      <c r="B21" s="8"/>
      <c r="C21" s="202">
        <v>0</v>
      </c>
      <c r="D21" s="211"/>
      <c r="E21" s="198"/>
      <c r="F21" s="47" t="s">
        <v>6</v>
      </c>
      <c r="G21" s="33"/>
      <c r="H21" s="8" t="s">
        <v>195</v>
      </c>
      <c r="I21" s="8"/>
      <c r="J21" s="8"/>
      <c r="K21" s="2"/>
      <c r="Q21" s="2"/>
    </row>
    <row r="22" spans="1:17" ht="18">
      <c r="A22" s="32" t="s">
        <v>194</v>
      </c>
      <c r="B22" s="8"/>
      <c r="C22" s="202">
        <v>0</v>
      </c>
      <c r="D22" s="198"/>
      <c r="E22" s="198"/>
      <c r="F22" s="47" t="s">
        <v>6</v>
      </c>
      <c r="G22" s="33"/>
      <c r="H22" s="8" t="s">
        <v>196</v>
      </c>
      <c r="I22" s="8"/>
      <c r="J22" s="8"/>
      <c r="K22" s="2"/>
      <c r="Q22" s="2"/>
    </row>
    <row r="23" spans="1:17" ht="18">
      <c r="A23" s="32" t="s">
        <v>102</v>
      </c>
      <c r="B23" s="8"/>
      <c r="C23" s="209">
        <v>0.1</v>
      </c>
      <c r="D23" s="203"/>
      <c r="E23" s="203"/>
      <c r="F23" s="47" t="s">
        <v>6</v>
      </c>
      <c r="G23" s="33" t="s">
        <v>182</v>
      </c>
      <c r="H23" s="8" t="s">
        <v>214</v>
      </c>
      <c r="I23" s="8"/>
      <c r="J23" s="8"/>
      <c r="K23" s="2"/>
      <c r="Q23" s="2"/>
    </row>
    <row r="24" spans="1:17" ht="15">
      <c r="A24" s="32" t="s">
        <v>217</v>
      </c>
      <c r="B24" s="8"/>
      <c r="C24" s="209" t="s">
        <v>218</v>
      </c>
      <c r="D24" s="199"/>
      <c r="E24" s="199"/>
      <c r="F24" s="47"/>
      <c r="G24" s="33"/>
      <c r="H24" s="8"/>
      <c r="I24" s="8"/>
      <c r="J24" s="8"/>
      <c r="K24" s="2"/>
      <c r="P24" s="2"/>
      <c r="Q24" s="2"/>
    </row>
    <row r="25" spans="1:17" ht="18">
      <c r="A25" s="49" t="s">
        <v>215</v>
      </c>
      <c r="B25" s="105"/>
      <c r="C25" s="200">
        <f>Laster!E13</f>
        <v>1.5</v>
      </c>
      <c r="D25" s="201"/>
      <c r="E25" s="201"/>
      <c r="F25" s="47" t="s">
        <v>6</v>
      </c>
      <c r="G25" s="55"/>
      <c r="H25" s="48" t="s">
        <v>265</v>
      </c>
      <c r="I25" s="2"/>
      <c r="J25" s="8"/>
      <c r="K25" s="2"/>
      <c r="P25" s="2"/>
      <c r="Q25" s="2"/>
    </row>
    <row r="26" spans="1:17" ht="15">
      <c r="A26" s="49" t="s">
        <v>258</v>
      </c>
      <c r="B26" s="105"/>
      <c r="C26" s="204" t="s">
        <v>79</v>
      </c>
      <c r="D26" s="205"/>
      <c r="E26" s="205"/>
      <c r="F26" s="47"/>
      <c r="G26" s="55" t="s">
        <v>260</v>
      </c>
      <c r="H26" s="2"/>
      <c r="I26" s="2"/>
      <c r="J26" s="8"/>
      <c r="K26" s="2"/>
      <c r="P26" s="2"/>
      <c r="Q26" s="2"/>
    </row>
    <row r="27" spans="1:17" ht="15">
      <c r="A27" s="49" t="s">
        <v>246</v>
      </c>
      <c r="B27" s="105"/>
      <c r="C27" s="196" t="s">
        <v>79</v>
      </c>
      <c r="D27" s="203"/>
      <c r="E27" s="203"/>
      <c r="F27" s="47" t="s">
        <v>253</v>
      </c>
      <c r="G27" s="176">
        <v>0.2</v>
      </c>
      <c r="H27" s="2" t="s">
        <v>254</v>
      </c>
      <c r="I27" s="2"/>
      <c r="J27" s="8"/>
      <c r="K27" s="2"/>
      <c r="P27" s="2"/>
      <c r="Q27" s="2"/>
    </row>
    <row r="28" spans="1:17" ht="15">
      <c r="A28" s="49" t="s">
        <v>141</v>
      </c>
      <c r="B28" s="105"/>
      <c r="C28" s="196">
        <v>5</v>
      </c>
      <c r="D28" s="199"/>
      <c r="E28" s="199"/>
      <c r="F28" s="33" t="s">
        <v>142</v>
      </c>
      <c r="G28" s="47" t="s">
        <v>181</v>
      </c>
      <c r="H28" s="157">
        <f>IF(C28=0,"",IF(C28=5,IF(C17="Andet","Trapezplade nødvendig på oversiden pga. skivekræfter",""),IF(C28=10,IF(C17="Andet","Trapezplade nødvendig på oversiden pga. skivekræfter",IF(C18="Trapezplade","Låseplader på begge sider af element!",IF(C18="TF20, trapezplade","Låseplader på begge sider af element!","Trapezplade nødvendig på undersiden pga. skivekræfter"))))))</f>
      </c>
      <c r="I28" s="160"/>
      <c r="J28" s="8"/>
      <c r="K28" s="2"/>
      <c r="P28" s="2"/>
      <c r="Q28" s="2"/>
    </row>
    <row r="29" spans="1:19" ht="15">
      <c r="A29" s="32" t="s">
        <v>4</v>
      </c>
      <c r="B29" s="8"/>
      <c r="C29" s="196">
        <v>400</v>
      </c>
      <c r="D29" s="203"/>
      <c r="E29" s="203"/>
      <c r="F29" s="47" t="s">
        <v>5</v>
      </c>
      <c r="G29" s="33" t="s">
        <v>226</v>
      </c>
      <c r="H29" s="2" t="s">
        <v>225</v>
      </c>
      <c r="I29" s="2"/>
      <c r="J29" s="2"/>
      <c r="M29" s="2"/>
      <c r="S29" s="2"/>
    </row>
    <row r="30" spans="1:19" ht="15">
      <c r="A30" s="49" t="s">
        <v>203</v>
      </c>
      <c r="B30" s="105"/>
      <c r="C30" s="196" t="s">
        <v>163</v>
      </c>
      <c r="D30" s="199"/>
      <c r="E30" s="199"/>
      <c r="F30" s="33"/>
      <c r="G30" s="47" t="s">
        <v>163</v>
      </c>
      <c r="H30" s="8" t="s">
        <v>292</v>
      </c>
      <c r="I30" s="8"/>
      <c r="J30" s="2"/>
      <c r="M30" s="2"/>
      <c r="N30" s="2"/>
      <c r="S30" s="2"/>
    </row>
    <row r="31" spans="1:19" ht="15">
      <c r="A31" s="32" t="s">
        <v>128</v>
      </c>
      <c r="B31" s="8"/>
      <c r="C31" s="206" t="s">
        <v>130</v>
      </c>
      <c r="D31" s="207"/>
      <c r="E31" s="207"/>
      <c r="F31" s="47"/>
      <c r="G31" s="33" t="s">
        <v>143</v>
      </c>
      <c r="H31" s="2"/>
      <c r="I31" s="2"/>
      <c r="J31" s="8"/>
      <c r="K31" s="2"/>
      <c r="M31" s="2"/>
      <c r="N31" s="2"/>
      <c r="O31" s="2"/>
      <c r="S31" s="2"/>
    </row>
    <row r="32" spans="1:19" ht="15">
      <c r="A32" s="32" t="s">
        <v>170</v>
      </c>
      <c r="B32" s="8"/>
      <c r="C32" s="206" t="s">
        <v>171</v>
      </c>
      <c r="D32" s="212"/>
      <c r="E32" s="212"/>
      <c r="F32" s="47"/>
      <c r="G32" s="33" t="s">
        <v>171</v>
      </c>
      <c r="H32" s="2"/>
      <c r="I32" s="2"/>
      <c r="J32" s="8"/>
      <c r="K32" s="2"/>
      <c r="M32" s="2"/>
      <c r="N32" s="2"/>
      <c r="O32" s="2"/>
      <c r="S32" s="2"/>
    </row>
    <row r="33" spans="1:19" ht="18">
      <c r="A33" s="32" t="s">
        <v>3</v>
      </c>
      <c r="B33" s="8"/>
      <c r="C33" s="206" t="s">
        <v>79</v>
      </c>
      <c r="D33" s="219"/>
      <c r="E33" s="207"/>
      <c r="F33" s="47" t="s">
        <v>58</v>
      </c>
      <c r="G33" s="33" t="s">
        <v>183</v>
      </c>
      <c r="H33" s="154">
        <f>IF(C33&lt;0.15,"Montering af ekstra isolering nødvendig på pladsen","")</f>
      </c>
      <c r="I33" s="154"/>
      <c r="J33" s="8"/>
      <c r="K33" s="2"/>
      <c r="S33" s="2"/>
    </row>
    <row r="34" spans="1:19" ht="15">
      <c r="A34" s="34" t="s">
        <v>73</v>
      </c>
      <c r="B34" s="35"/>
      <c r="C34" s="217" t="s">
        <v>79</v>
      </c>
      <c r="D34" s="218"/>
      <c r="E34" s="218"/>
      <c r="F34" s="116"/>
      <c r="G34" s="36" t="s">
        <v>79</v>
      </c>
      <c r="H34" s="157">
        <f>IF(C19="Ja","",IF(C34="Intet krav","",IF(C14&gt;18,"Brandkrav kan ikke overholdes pga. spændvidden. Brandgips nødvendigt!",IF(Beregninger!E26&gt;2.25,IF(C18="TF20, trapezplade","","Brandkrav kan ikke overholdes pga. nyttelastens størrelse. Brandgips eller TF20 og trapezplade nødvendigt på undersiden!"),IF(Laster!H6="OK",IF(Laster!H7="OK","","Valg af underside ikke OK pga. brandkrav"),"Valg af overside ikke OK pga. brandkrav")))))</f>
      </c>
      <c r="I34" s="157"/>
      <c r="J34" s="2"/>
      <c r="S34" s="2"/>
    </row>
    <row r="35" ht="15">
      <c r="J35" s="2"/>
    </row>
    <row r="36" spans="1:10" ht="15">
      <c r="A36" s="2" t="s">
        <v>266</v>
      </c>
      <c r="J36" s="2"/>
    </row>
    <row r="37" spans="1:10" ht="15">
      <c r="A37" s="2" t="s">
        <v>294</v>
      </c>
      <c r="J37" s="2"/>
    </row>
    <row r="38" ht="15">
      <c r="J38" s="2"/>
    </row>
    <row r="39" spans="1:19" ht="15">
      <c r="A39" s="37" t="s">
        <v>57</v>
      </c>
      <c r="B39" s="2"/>
      <c r="C39" s="2"/>
      <c r="D39" s="2"/>
      <c r="F39" s="2"/>
      <c r="G39" s="2"/>
      <c r="H39" s="2"/>
      <c r="I39" s="2"/>
      <c r="S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71">
        <v>1</v>
      </c>
      <c r="B41" s="2"/>
      <c r="C41" s="2" t="s">
        <v>146</v>
      </c>
      <c r="D41" s="2"/>
      <c r="E41" s="2"/>
      <c r="F41" s="2"/>
      <c r="G41" s="2"/>
    </row>
    <row r="42" spans="1:11" ht="15">
      <c r="A42" s="72">
        <v>2</v>
      </c>
      <c r="B42" s="2"/>
      <c r="C42" s="2" t="s">
        <v>67</v>
      </c>
      <c r="D42" s="2"/>
      <c r="E42" s="2"/>
      <c r="F42" s="2"/>
      <c r="G42" s="2"/>
      <c r="H42" s="2"/>
      <c r="I42" s="2"/>
      <c r="K42" s="2"/>
    </row>
    <row r="43" spans="1:9" ht="15">
      <c r="A43" s="73">
        <v>3</v>
      </c>
      <c r="B43" s="2"/>
      <c r="C43" s="2" t="s">
        <v>66</v>
      </c>
      <c r="D43" s="2"/>
      <c r="E43" s="2"/>
      <c r="F43" s="2"/>
      <c r="G43" s="2"/>
      <c r="H43" s="2"/>
      <c r="I43" s="2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8"/>
      <c r="L44" s="8"/>
    </row>
    <row r="45" spans="1:9" ht="15">
      <c r="A45" s="6" t="s">
        <v>10</v>
      </c>
      <c r="B45" s="9" t="s">
        <v>64</v>
      </c>
      <c r="C45" s="16" t="s">
        <v>278</v>
      </c>
      <c r="D45" s="44" t="s">
        <v>62</v>
      </c>
      <c r="E45" s="44" t="s">
        <v>38</v>
      </c>
      <c r="F45" s="44" t="s">
        <v>38</v>
      </c>
      <c r="G45" s="44" t="s">
        <v>242</v>
      </c>
      <c r="H45" s="215" t="s">
        <v>71</v>
      </c>
      <c r="I45" s="216"/>
    </row>
    <row r="46" spans="1:15" ht="15">
      <c r="A46" s="3" t="s">
        <v>20</v>
      </c>
      <c r="B46" s="10" t="s">
        <v>65</v>
      </c>
      <c r="C46" s="13" t="s">
        <v>145</v>
      </c>
      <c r="D46" s="105"/>
      <c r="E46" s="13" t="s">
        <v>54</v>
      </c>
      <c r="F46" s="13" t="s">
        <v>55</v>
      </c>
      <c r="G46" s="13"/>
      <c r="H46" s="213" t="s">
        <v>72</v>
      </c>
      <c r="I46" s="214"/>
      <c r="K46" s="114" t="s">
        <v>283</v>
      </c>
      <c r="L46" s="30"/>
      <c r="M46" s="30"/>
      <c r="N46" s="30"/>
      <c r="O46" s="17" t="s">
        <v>117</v>
      </c>
    </row>
    <row r="47" spans="1:15" ht="18">
      <c r="A47" s="5"/>
      <c r="B47" s="32"/>
      <c r="C47" s="13" t="s">
        <v>97</v>
      </c>
      <c r="D47" s="13" t="s">
        <v>98</v>
      </c>
      <c r="E47" s="13" t="s">
        <v>17</v>
      </c>
      <c r="F47" s="13" t="s">
        <v>56</v>
      </c>
      <c r="G47" s="13" t="s">
        <v>256</v>
      </c>
      <c r="H47" s="52"/>
      <c r="I47" s="187"/>
      <c r="K47" s="34"/>
      <c r="L47" s="35"/>
      <c r="M47" s="35"/>
      <c r="N47" s="35"/>
      <c r="O47" s="115" t="s">
        <v>98</v>
      </c>
    </row>
    <row r="48" spans="1:15" ht="15">
      <c r="A48" s="9" t="s">
        <v>21</v>
      </c>
      <c r="B48" s="9">
        <f>Beregninger!B75</f>
        <v>2</v>
      </c>
      <c r="C48" s="42">
        <f>IF(Beregninger!N63="-","-",Beregninger!M63)</f>
        <v>0.39</v>
      </c>
      <c r="D48" s="42">
        <f>IF(C48="-","-",Beregninger!$E$35+Beregninger!M51/Beregninger!M63)</f>
        <v>0.7289580615384615</v>
      </c>
      <c r="E48" s="67">
        <f>Beregninger!J75</f>
        <v>18.970169836642143</v>
      </c>
      <c r="F48" s="70">
        <f>Beregninger!K75</f>
        <v>421.7147273266615</v>
      </c>
      <c r="G48" s="67">
        <f>IF(H48="-","-",Beregninger!L75)</f>
        <v>5.011718894507372</v>
      </c>
      <c r="H48" s="215" t="str">
        <f>IF(Beregninger!B63="-",Beregninger!$B$61,IF(Beregninger!C63="-",Beregninger!$C$61,IF(Beregninger!I63="-","Trapezplade",IF(MAX(Beregninger!J63:L63)=Beregninger!M63,"Brandkrav",Beregninger!P63))))</f>
        <v>Krav til frekvens</v>
      </c>
      <c r="I48" s="216"/>
      <c r="J48" s="2"/>
      <c r="K48" s="32" t="str">
        <f>C17</f>
        <v>Trapezplade, TF30</v>
      </c>
      <c r="L48" s="8"/>
      <c r="M48" s="8"/>
      <c r="N48" s="8"/>
      <c r="O48" s="22">
        <f>Laster!E6</f>
        <v>0.1144</v>
      </c>
    </row>
    <row r="49" spans="1:15" ht="15">
      <c r="A49" s="10" t="s">
        <v>22</v>
      </c>
      <c r="B49" s="10">
        <f>Beregninger!B76</f>
        <v>2</v>
      </c>
      <c r="C49" s="15">
        <f>IF(Beregninger!N64="-","-",Beregninger!M64)</f>
        <v>0.51</v>
      </c>
      <c r="D49" s="15">
        <f>IF(C49="-","-",Beregninger!$E$35+Beregninger!M52/Beregninger!M64)</f>
        <v>0.7359807686274509</v>
      </c>
      <c r="E49" s="38">
        <f>Beregninger!J76</f>
        <v>18.71448121770703</v>
      </c>
      <c r="F49" s="39">
        <f>Beregninger!K76</f>
        <v>427.4764502919088</v>
      </c>
      <c r="G49" s="38">
        <f>IF(H49="-","-",Beregninger!L76)</f>
        <v>5.032559885618718</v>
      </c>
      <c r="H49" s="213" t="str">
        <f>IF(Beregninger!B64="-",Beregninger!$B$61,IF(Beregninger!C64="-",Beregninger!$C$61,IF(Beregninger!I64="-","Trapezplade",IF(MAX(Beregninger!J64:L64)=Beregninger!M64,"Brandkrav",Beregninger!P64))))</f>
        <v>Krav til frekvens</v>
      </c>
      <c r="I49" s="214"/>
      <c r="J49" s="2"/>
      <c r="K49" s="32" t="s">
        <v>124</v>
      </c>
      <c r="L49" s="8"/>
      <c r="M49" s="8"/>
      <c r="N49" s="8"/>
      <c r="O49" s="18">
        <f>Laster!E4</f>
        <v>0.13999999999999999</v>
      </c>
    </row>
    <row r="50" spans="1:15" ht="15">
      <c r="A50" s="10" t="s">
        <v>23</v>
      </c>
      <c r="B50" s="10">
        <f>Beregninger!B77</f>
        <v>2</v>
      </c>
      <c r="C50" s="15">
        <f>IF(Beregninger!N65="-","-",Beregninger!M65)</f>
        <v>1.01</v>
      </c>
      <c r="D50" s="15">
        <f>IF(C50="-","-",Beregninger!$E$35+Beregninger!M53/Beregninger!M65)</f>
        <v>0.5319957861386139</v>
      </c>
      <c r="E50" s="38">
        <f>Beregninger!J77</f>
        <v>19.85568897367798</v>
      </c>
      <c r="F50" s="39">
        <f>Beregninger!K77</f>
        <v>402.9071975596178</v>
      </c>
      <c r="G50" s="38">
        <f>IF(H50="-","-",Beregninger!L77)</f>
        <v>5.307781853959946</v>
      </c>
      <c r="H50" s="213" t="str">
        <f>IF(Beregninger!B65="-",Beregninger!$B$61,IF(Beregninger!C65="-",Beregninger!$C$61,IF(Beregninger!I65="-","Trapezplade",IF(MAX(Beregninger!J65:L65)=Beregninger!M65,"Brandkrav",Beregninger!P65))))</f>
        <v>Deformation</v>
      </c>
      <c r="I50" s="214"/>
      <c r="J50" s="2"/>
      <c r="K50" s="49" t="s">
        <v>112</v>
      </c>
      <c r="L50" s="105"/>
      <c r="M50" s="105"/>
      <c r="N50" s="105"/>
      <c r="O50" s="18">
        <f>Laster!E5</f>
        <v>0.02</v>
      </c>
    </row>
    <row r="51" spans="1:15" ht="15">
      <c r="A51" s="10" t="s">
        <v>24</v>
      </c>
      <c r="B51" s="10">
        <f>Beregninger!B78</f>
        <v>2</v>
      </c>
      <c r="C51" s="15">
        <f>IF(Beregninger!N66="-","-",Beregninger!M66)</f>
        <v>1.39</v>
      </c>
      <c r="D51" s="15">
        <f>IF(C51="-","-",Beregninger!$E$35+Beregninger!M54/Beregninger!M66)</f>
        <v>0.5269704978417267</v>
      </c>
      <c r="E51" s="38">
        <f>Beregninger!J78</f>
        <v>19.906257011149712</v>
      </c>
      <c r="F51" s="39">
        <f>Beregninger!K78</f>
        <v>401.88368890842276</v>
      </c>
      <c r="G51" s="38">
        <f>IF(H51="-","-",Beregninger!L78)</f>
        <v>5.312841676424321</v>
      </c>
      <c r="H51" s="213" t="str">
        <f>IF(Beregninger!B66="-",Beregninger!$B$61,IF(Beregninger!C66="-",Beregninger!$C$61,IF(Beregninger!I66="-","Trapezplade",IF(MAX(Beregninger!J66:L66)=Beregninger!M66,"Brandkrav",Beregninger!P66))))</f>
        <v>Deformation</v>
      </c>
      <c r="I51" s="214"/>
      <c r="J51" s="2"/>
      <c r="K51" s="34" t="str">
        <f>C18</f>
        <v>TF20, trapezplade</v>
      </c>
      <c r="L51" s="35"/>
      <c r="M51" s="35"/>
      <c r="N51" s="35"/>
      <c r="O51" s="26">
        <f>Laster!E7</f>
        <v>0.09640000000000001</v>
      </c>
    </row>
    <row r="52" spans="1:10" ht="15">
      <c r="A52" s="10" t="s">
        <v>25</v>
      </c>
      <c r="B52" s="10">
        <f>Beregninger!B79</f>
        <v>1</v>
      </c>
      <c r="C52" s="15">
        <f>IF(Beregninger!N67="-","-",Beregninger!M67)</f>
        <v>1.4</v>
      </c>
      <c r="D52" s="15">
        <f>IF(C52="-","-",Beregninger!$E$35+Beregninger!M55/Beregninger!M67)</f>
        <v>0.4953505671428572</v>
      </c>
      <c r="E52" s="38">
        <f>Beregninger!J79</f>
        <v>19.551587301587304</v>
      </c>
      <c r="F52" s="39">
        <f>Beregninger!K79</f>
        <v>409.17393951694737</v>
      </c>
      <c r="G52" s="38">
        <f>IF(H52="-","-",Beregninger!L79)</f>
        <v>5.437638998000134</v>
      </c>
      <c r="H52" s="213" t="str">
        <f>IF(Beregninger!B67="-",Beregninger!$B$61,IF(Beregninger!C67="-",Beregninger!$C$61,IF(Beregninger!I67="-","Trapezplade",IF(MAX(Beregninger!J67:L67)=Beregninger!M67,"Brandkrav",Beregninger!P67))))</f>
        <v>Trapezplade</v>
      </c>
      <c r="I52" s="214"/>
      <c r="J52" s="2"/>
    </row>
    <row r="53" spans="1:10" ht="15">
      <c r="A53" s="11" t="s">
        <v>26</v>
      </c>
      <c r="B53" s="11">
        <f>Beregninger!B80</f>
        <v>2</v>
      </c>
      <c r="C53" s="25">
        <f>IF(Beregninger!N68="-","-",Beregninger!M68)</f>
        <v>1.4</v>
      </c>
      <c r="D53" s="25">
        <f>IF(C53="-","-",Beregninger!$E$35+Beregninger!M56/Beregninger!M68)</f>
        <v>0.5368674228571428</v>
      </c>
      <c r="E53" s="69">
        <f>Beregninger!J80</f>
        <v>14.30935039593402</v>
      </c>
      <c r="F53" s="45">
        <f>Beregninger!K80</f>
        <v>559.0749949259183</v>
      </c>
      <c r="G53" s="69">
        <f>IF(H53="-","-",Beregninger!L80)</f>
        <v>6.23897263742331</v>
      </c>
      <c r="H53" s="220" t="str">
        <f>IF(Beregninger!B68="-",Beregninger!$B$61,IF(Beregninger!C68="-",Beregninger!$C$61,IF(Beregninger!I68="-","Trapezplade",IF(MAX(Beregninger!J68:L68)=Beregninger!M68,"Brandkrav",Beregninger!P68))))</f>
        <v>Trapezplade</v>
      </c>
      <c r="I53" s="221"/>
      <c r="J53" s="2"/>
    </row>
    <row r="54" spans="1:10" ht="15">
      <c r="A54" s="2"/>
      <c r="B54" s="2"/>
      <c r="C54" s="2"/>
      <c r="D54" s="2"/>
      <c r="F54" s="8"/>
      <c r="G54" s="8"/>
      <c r="H54" s="8"/>
      <c r="I54" s="8"/>
      <c r="J54" s="8"/>
    </row>
    <row r="55" spans="1:12" ht="15">
      <c r="A55" s="66" t="s">
        <v>284</v>
      </c>
      <c r="B55" s="2"/>
      <c r="C55" s="2"/>
      <c r="D55" s="2"/>
      <c r="E55" s="2"/>
      <c r="F55" s="2"/>
      <c r="G55" s="2"/>
      <c r="H55" s="2"/>
      <c r="I55" s="2"/>
      <c r="J55" s="2"/>
      <c r="K55" s="8"/>
      <c r="L55" s="8"/>
    </row>
    <row r="56" spans="1:12" ht="15">
      <c r="A56" s="2" t="s">
        <v>293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 t="s">
        <v>285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5:11" ht="15">
      <c r="E59" s="2"/>
      <c r="F59" s="2"/>
      <c r="G59" s="2"/>
      <c r="H59" s="2"/>
      <c r="I59" s="2"/>
      <c r="J59" s="2"/>
      <c r="K59" s="2"/>
    </row>
    <row r="60" spans="1:11" ht="15">
      <c r="A60" s="66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</sheetData>
  <sheetProtection/>
  <mergeCells count="29">
    <mergeCell ref="H53:I53"/>
    <mergeCell ref="H49:I49"/>
    <mergeCell ref="H50:I50"/>
    <mergeCell ref="H51:I51"/>
    <mergeCell ref="H52:I52"/>
    <mergeCell ref="C32:E32"/>
    <mergeCell ref="H46:I46"/>
    <mergeCell ref="H45:I45"/>
    <mergeCell ref="H48:I48"/>
    <mergeCell ref="C34:E34"/>
    <mergeCell ref="C33:E33"/>
    <mergeCell ref="C30:E30"/>
    <mergeCell ref="C31:E31"/>
    <mergeCell ref="C29:E29"/>
    <mergeCell ref="C16:E16"/>
    <mergeCell ref="C23:E23"/>
    <mergeCell ref="C24:E24"/>
    <mergeCell ref="C19:E19"/>
    <mergeCell ref="C20:E20"/>
    <mergeCell ref="C21:E21"/>
    <mergeCell ref="C14:E14"/>
    <mergeCell ref="C15:E15"/>
    <mergeCell ref="C28:E28"/>
    <mergeCell ref="C25:E25"/>
    <mergeCell ref="C22:E22"/>
    <mergeCell ref="C27:E27"/>
    <mergeCell ref="C26:E26"/>
    <mergeCell ref="C17:E17"/>
    <mergeCell ref="C18:E18"/>
  </mergeCells>
  <conditionalFormatting sqref="J48:J53">
    <cfRule type="cellIs" priority="1" dxfId="0" operator="notEqual" stopIfTrue="1">
      <formula>"Spændvidde trapezplade OK"</formula>
    </cfRule>
  </conditionalFormatting>
  <conditionalFormatting sqref="B48:B53">
    <cfRule type="cellIs" priority="2" dxfId="5" operator="equal" stopIfTrue="1">
      <formula>1</formula>
    </cfRule>
    <cfRule type="cellIs" priority="3" dxfId="4" operator="equal" stopIfTrue="1">
      <formula>2</formula>
    </cfRule>
    <cfRule type="cellIs" priority="4" dxfId="3" operator="equal" stopIfTrue="1">
      <formula>3</formula>
    </cfRule>
  </conditionalFormatting>
  <dataValidations count="12">
    <dataValidation type="list" allowBlank="1" showInputMessage="1" showErrorMessage="1" sqref="C30 C19">
      <formula1>min</formula1>
    </dataValidation>
    <dataValidation type="list" allowBlank="1" showInputMessage="1" showErrorMessage="1" sqref="C31">
      <formula1>sikkerhedsklasse</formula1>
    </dataValidation>
    <dataValidation type="list" allowBlank="1" showInputMessage="1" showErrorMessage="1" sqref="C33">
      <formula1>uværdi</formula1>
    </dataValidation>
    <dataValidation type="list" allowBlank="1" showInputMessage="1" showErrorMessage="1" sqref="C32:E32">
      <formula1>kontrolkl</formula1>
    </dataValidation>
    <dataValidation type="list" allowBlank="1" showInputMessage="1" showErrorMessage="1" sqref="C34:E34">
      <formula1>bkrav</formula1>
    </dataValidation>
    <dataValidation type="list" allowBlank="1" showInputMessage="1" showErrorMessage="1" sqref="C27">
      <formula1>andel</formula1>
    </dataValidation>
    <dataValidation type="list" allowBlank="1" showInputMessage="1" showErrorMessage="1" sqref="C28:E28">
      <formula1>skivekraft</formula1>
    </dataValidation>
    <dataValidation type="list" allowBlank="1" showInputMessage="1" showErrorMessage="1" sqref="C18:E18">
      <formula1>bu</formula1>
    </dataValidation>
    <dataValidation type="list" allowBlank="1" showInputMessage="1" showErrorMessage="1" sqref="C17:E17">
      <formula1>bo</formula1>
    </dataValidation>
    <dataValidation type="list" allowBlank="1" showInputMessage="1" showErrorMessage="1" sqref="C15">
      <formula1>understøtning</formula1>
    </dataValidation>
    <dataValidation type="list" allowBlank="1" showInputMessage="1" showErrorMessage="1" sqref="C24:E24">
      <formula1>Funktion</formula1>
    </dataValidation>
    <dataValidation type="list" allowBlank="1" showInputMessage="1" showErrorMessage="1" sqref="C26:E26">
      <formula1>frekvens</formula1>
    </dataValidation>
  </dataValidations>
  <printOptions/>
  <pageMargins left="0.75" right="0.75" top="1" bottom="1" header="0.5" footer="0.5"/>
  <pageSetup horizontalDpi="600" verticalDpi="600" orientation="portrait" paperSize="9" r:id="rId4"/>
  <legacyDrawing r:id="rId3"/>
  <oleObjects>
    <oleObject progId="AutoCAD.Drawing.17" shapeId="244464" r:id="rId1"/>
    <oleObject progId="AutoCAD.Drawing.17" shapeId="2492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zoomScale="75" zoomScaleNormal="75" zoomScalePageLayoutView="0" workbookViewId="0" topLeftCell="A1">
      <selection activeCell="E23" sqref="E23"/>
    </sheetView>
  </sheetViews>
  <sheetFormatPr defaultColWidth="9.140625" defaultRowHeight="12.75"/>
  <cols>
    <col min="1" max="1" width="9.421875" style="0" bestFit="1" customWidth="1"/>
    <col min="5" max="5" width="9.57421875" style="0" customWidth="1"/>
  </cols>
  <sheetData>
    <row r="2" spans="1:10" ht="19.5">
      <c r="A2" s="133" t="s">
        <v>290</v>
      </c>
      <c r="B2" s="2"/>
      <c r="C2" s="2"/>
      <c r="D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F3" s="2"/>
      <c r="G3" s="2"/>
      <c r="H3" s="2"/>
      <c r="I3" s="2"/>
      <c r="J3" s="2"/>
    </row>
    <row r="4" spans="1:10" ht="15">
      <c r="A4" s="129" t="s">
        <v>8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9" t="s">
        <v>128</v>
      </c>
      <c r="B5" s="30"/>
      <c r="C5" s="30"/>
      <c r="D5" s="30"/>
      <c r="E5" s="151" t="str">
        <f>Beregninger!E16</f>
        <v>Middel (2)</v>
      </c>
      <c r="F5" s="31"/>
      <c r="G5" s="2"/>
      <c r="H5" s="2"/>
      <c r="I5" s="2"/>
      <c r="J5" s="2"/>
    </row>
    <row r="6" spans="1:10" ht="15">
      <c r="A6" s="32" t="s">
        <v>170</v>
      </c>
      <c r="B6" s="8"/>
      <c r="C6" s="8"/>
      <c r="D6" s="8"/>
      <c r="E6" s="153" t="str">
        <f>'Input &amp; Output'!C32</f>
        <v>Normal</v>
      </c>
      <c r="F6" s="33"/>
      <c r="G6" s="2"/>
      <c r="H6" s="2"/>
      <c r="I6" s="2"/>
      <c r="J6" s="2"/>
    </row>
    <row r="7" spans="1:10" ht="15">
      <c r="A7" s="32" t="s">
        <v>258</v>
      </c>
      <c r="B7" s="8"/>
      <c r="C7" s="8"/>
      <c r="D7" s="8"/>
      <c r="E7" s="99">
        <f>Beregninger!E30</f>
        <v>5</v>
      </c>
      <c r="F7" s="33" t="s">
        <v>262</v>
      </c>
      <c r="G7" s="2"/>
      <c r="H7" s="2"/>
      <c r="I7" s="2"/>
      <c r="J7" s="2"/>
    </row>
    <row r="8" spans="1:10" ht="15">
      <c r="A8" s="32" t="s">
        <v>78</v>
      </c>
      <c r="B8" s="8"/>
      <c r="C8" s="8"/>
      <c r="D8" s="8"/>
      <c r="E8" s="88">
        <f>Beregninger!E12</f>
        <v>400</v>
      </c>
      <c r="F8" s="33" t="s">
        <v>5</v>
      </c>
      <c r="G8" s="2"/>
      <c r="H8" s="2"/>
      <c r="I8" s="2"/>
      <c r="J8" s="2"/>
    </row>
    <row r="9" spans="1:10" ht="15">
      <c r="A9" s="32" t="s">
        <v>73</v>
      </c>
      <c r="B9" s="8"/>
      <c r="C9" s="8"/>
      <c r="D9" s="8"/>
      <c r="E9" s="53" t="str">
        <f>'Input &amp; Output'!C34</f>
        <v>Intet krav</v>
      </c>
      <c r="F9" s="33"/>
      <c r="G9" s="2"/>
      <c r="H9" s="2"/>
      <c r="I9" s="2"/>
      <c r="J9" s="2"/>
    </row>
    <row r="10" spans="1:10" ht="15">
      <c r="A10" s="34" t="s">
        <v>80</v>
      </c>
      <c r="B10" s="35"/>
      <c r="C10" s="35"/>
      <c r="D10" s="35"/>
      <c r="E10" s="149" t="str">
        <f>'Input &amp; Output'!C33</f>
        <v>Intet krav</v>
      </c>
      <c r="F10" s="36">
        <f>IF(E10="Intet krav","","W/m2·K")</f>
      </c>
      <c r="G10" s="2"/>
      <c r="H10" s="2"/>
      <c r="I10" s="2"/>
      <c r="J10" s="2"/>
    </row>
    <row r="11" spans="7:10" ht="15">
      <c r="G11" s="2"/>
      <c r="H11" s="2"/>
      <c r="I11" s="2"/>
      <c r="J11" s="2"/>
    </row>
    <row r="12" spans="1:10" ht="15">
      <c r="A12" s="129" t="s">
        <v>147</v>
      </c>
      <c r="G12" s="2"/>
      <c r="H12" s="2"/>
      <c r="I12" s="2"/>
      <c r="J12" s="2"/>
    </row>
    <row r="13" spans="1:10" ht="15">
      <c r="A13" s="27" t="s">
        <v>151</v>
      </c>
      <c r="B13" s="8"/>
      <c r="C13" s="8"/>
      <c r="D13" s="8"/>
      <c r="E13" s="130"/>
      <c r="F13" s="8"/>
      <c r="G13" s="8"/>
      <c r="H13" s="8"/>
      <c r="I13" s="2"/>
      <c r="J13" s="2"/>
    </row>
    <row r="14" spans="1:10" ht="15">
      <c r="A14" s="29" t="str">
        <f>'Input &amp; Output'!K48</f>
        <v>Trapezplade, TF30</v>
      </c>
      <c r="B14" s="30"/>
      <c r="C14" s="30"/>
      <c r="D14" s="30"/>
      <c r="E14" s="158">
        <f>'Input &amp; Output'!O48</f>
        <v>0.1144</v>
      </c>
      <c r="F14" s="31"/>
      <c r="G14" s="8"/>
      <c r="H14" s="8"/>
      <c r="I14" s="2"/>
      <c r="J14" s="2"/>
    </row>
    <row r="15" spans="1:10" ht="15">
      <c r="A15" s="32" t="str">
        <f>IF(E33="SD201","200 mm isolering",IF(E33="SD202","200 mm isolering",IF(E33="SD301","300 mm isolering",IF(E33="SD302","300 mm isolering",IF(E33="SD351","350 mm isolering",IF(E33="SD352","350 mm isolering","Isolering"))))))</f>
        <v>350 mm isolering</v>
      </c>
      <c r="B15" s="8"/>
      <c r="C15" s="8"/>
      <c r="D15" s="8"/>
      <c r="E15" s="144">
        <f>'Input &amp; Output'!O49</f>
        <v>0.13999999999999999</v>
      </c>
      <c r="F15" s="33"/>
      <c r="G15" s="8"/>
      <c r="H15" s="8"/>
      <c r="I15" s="8"/>
      <c r="J15" s="2"/>
    </row>
    <row r="16" spans="1:10" ht="15">
      <c r="A16" s="32" t="str">
        <f>'Input &amp; Output'!K50</f>
        <v>Dampspærre</v>
      </c>
      <c r="B16" s="8"/>
      <c r="C16" s="8"/>
      <c r="D16" s="8"/>
      <c r="E16" s="144">
        <f>'Input &amp; Output'!O50</f>
        <v>0.02</v>
      </c>
      <c r="F16" s="33"/>
      <c r="G16" s="8"/>
      <c r="H16" s="8"/>
      <c r="I16" s="8"/>
      <c r="J16" s="2"/>
    </row>
    <row r="17" spans="1:10" ht="15">
      <c r="A17" s="34" t="str">
        <f>'Input &amp; Output'!K51</f>
        <v>TF20, trapezplade</v>
      </c>
      <c r="B17" s="35"/>
      <c r="C17" s="35"/>
      <c r="D17" s="35"/>
      <c r="E17" s="159">
        <f>'Input &amp; Output'!O51</f>
        <v>0.09640000000000001</v>
      </c>
      <c r="F17" s="36"/>
      <c r="G17" s="8"/>
      <c r="H17" s="8"/>
      <c r="I17" s="8"/>
      <c r="J17" s="2"/>
    </row>
    <row r="18" spans="1:10" ht="18">
      <c r="A18" s="93" t="s">
        <v>62</v>
      </c>
      <c r="B18" s="35"/>
      <c r="C18" s="35"/>
      <c r="D18" s="35"/>
      <c r="E18" s="159">
        <f>SUM(E14:E17)</f>
        <v>0.3708</v>
      </c>
      <c r="F18" s="50" t="s">
        <v>6</v>
      </c>
      <c r="G18" s="8" t="s">
        <v>149</v>
      </c>
      <c r="H18" s="8"/>
      <c r="I18" s="8"/>
      <c r="J18" s="2"/>
    </row>
    <row r="19" spans="9:10" ht="15">
      <c r="I19" s="8"/>
      <c r="J19" s="2"/>
    </row>
    <row r="20" spans="1:10" ht="15">
      <c r="A20" s="28" t="s">
        <v>150</v>
      </c>
      <c r="I20" s="8"/>
      <c r="J20" s="8"/>
    </row>
    <row r="21" spans="1:10" ht="18">
      <c r="A21" s="29" t="s">
        <v>193</v>
      </c>
      <c r="B21" s="30"/>
      <c r="C21" s="30"/>
      <c r="D21" s="30"/>
      <c r="E21" s="64">
        <f>'Input &amp; Output'!C21</f>
        <v>0</v>
      </c>
      <c r="F21" s="63" t="s">
        <v>6</v>
      </c>
      <c r="I21" s="8"/>
      <c r="J21" s="8"/>
    </row>
    <row r="22" spans="1:10" ht="18">
      <c r="A22" s="32" t="s">
        <v>194</v>
      </c>
      <c r="B22" s="8"/>
      <c r="C22" s="8"/>
      <c r="D22" s="8"/>
      <c r="E22" s="90">
        <f>'Input &amp; Output'!C22</f>
        <v>0</v>
      </c>
      <c r="F22" s="46" t="s">
        <v>6</v>
      </c>
      <c r="I22" s="8"/>
      <c r="J22" s="8"/>
    </row>
    <row r="23" spans="1:10" ht="18">
      <c r="A23" s="32" t="s">
        <v>208</v>
      </c>
      <c r="B23" s="8"/>
      <c r="C23" s="8"/>
      <c r="D23" s="8"/>
      <c r="E23" s="90">
        <f>Beregninger!E36</f>
        <v>0.1</v>
      </c>
      <c r="F23" s="46" t="s">
        <v>6</v>
      </c>
      <c r="I23" s="8"/>
      <c r="J23" s="8"/>
    </row>
    <row r="24" spans="1:10" ht="15">
      <c r="A24" s="32" t="s">
        <v>217</v>
      </c>
      <c r="B24" s="8"/>
      <c r="C24" s="8"/>
      <c r="D24" s="8"/>
      <c r="E24" s="90" t="str">
        <f>'Input &amp; Output'!C24</f>
        <v>Bolig</v>
      </c>
      <c r="F24" s="46"/>
      <c r="G24" s="2"/>
      <c r="H24" s="2"/>
      <c r="J24" s="8"/>
    </row>
    <row r="25" spans="1:10" ht="18">
      <c r="A25" s="32" t="s">
        <v>215</v>
      </c>
      <c r="B25" s="8"/>
      <c r="C25" s="8"/>
      <c r="D25" s="8"/>
      <c r="E25" s="90">
        <f>Laster!E13</f>
        <v>1.5</v>
      </c>
      <c r="F25" s="46" t="s">
        <v>6</v>
      </c>
      <c r="G25" s="8"/>
      <c r="H25" s="8"/>
      <c r="J25" s="8"/>
    </row>
    <row r="26" spans="1:10" ht="18">
      <c r="A26" s="32" t="s">
        <v>248</v>
      </c>
      <c r="B26" s="8"/>
      <c r="C26" s="8"/>
      <c r="D26" s="8"/>
      <c r="E26" s="90">
        <f>Beregninger!E29</f>
        <v>0.5</v>
      </c>
      <c r="F26" s="46" t="s">
        <v>6</v>
      </c>
      <c r="G26" s="8"/>
      <c r="H26" s="8"/>
      <c r="J26" s="8"/>
    </row>
    <row r="27" spans="1:11" ht="15">
      <c r="A27" s="34" t="s">
        <v>141</v>
      </c>
      <c r="B27" s="35"/>
      <c r="C27" s="35"/>
      <c r="D27" s="35"/>
      <c r="E27" s="150">
        <f>Beregninger!E24</f>
        <v>5</v>
      </c>
      <c r="F27" s="50" t="s">
        <v>142</v>
      </c>
      <c r="G27" s="8"/>
      <c r="H27" s="8"/>
      <c r="I27" s="8"/>
      <c r="J27" s="8"/>
      <c r="K27" s="105"/>
    </row>
    <row r="28" spans="7:11" ht="15">
      <c r="G28" s="8"/>
      <c r="H28" s="8"/>
      <c r="I28" s="8"/>
      <c r="J28" s="8"/>
      <c r="K28" s="105"/>
    </row>
    <row r="29" spans="1:11" ht="15">
      <c r="A29" s="132" t="s">
        <v>50</v>
      </c>
      <c r="G29" s="8"/>
      <c r="H29" s="8"/>
      <c r="I29" s="8"/>
      <c r="J29" s="8"/>
      <c r="K29" s="105"/>
    </row>
    <row r="30" spans="1:11" ht="15">
      <c r="A30" s="29" t="s">
        <v>87</v>
      </c>
      <c r="B30" s="30"/>
      <c r="C30" s="30"/>
      <c r="D30" s="30"/>
      <c r="E30" s="29" t="str">
        <f>Beregninger!E10</f>
        <v>Simpelt understøttet</v>
      </c>
      <c r="F30" s="31"/>
      <c r="G30" s="8"/>
      <c r="H30" s="8"/>
      <c r="I30" s="8"/>
      <c r="J30" s="8"/>
      <c r="K30" s="105"/>
    </row>
    <row r="31" spans="1:11" ht="15">
      <c r="A31" s="32" t="s">
        <v>1</v>
      </c>
      <c r="B31" s="8"/>
      <c r="C31" s="8"/>
      <c r="D31" s="8"/>
      <c r="E31" s="148">
        <f>'Input &amp; Output'!C14</f>
        <v>8</v>
      </c>
      <c r="F31" s="33" t="s">
        <v>2</v>
      </c>
      <c r="G31" s="8"/>
      <c r="H31" s="8"/>
      <c r="I31" s="8"/>
      <c r="J31" s="8"/>
      <c r="K31" s="105"/>
    </row>
    <row r="32" spans="1:11" ht="15">
      <c r="A32" s="32" t="s">
        <v>179</v>
      </c>
      <c r="B32" s="8"/>
      <c r="C32" s="8"/>
      <c r="D32" s="8"/>
      <c r="E32" s="148">
        <f>IF(E30="Simpelt understøttet",E31,Beregninger!E5)</f>
        <v>8</v>
      </c>
      <c r="F32" s="33" t="s">
        <v>2</v>
      </c>
      <c r="G32" s="8"/>
      <c r="H32" s="8"/>
      <c r="I32" s="8"/>
      <c r="J32" s="8"/>
      <c r="K32" s="105"/>
    </row>
    <row r="33" spans="1:11" ht="15">
      <c r="A33" s="32" t="s">
        <v>148</v>
      </c>
      <c r="B33" s="8"/>
      <c r="C33" s="8"/>
      <c r="D33" s="8"/>
      <c r="E33" s="189" t="str">
        <f>IF('Input &amp; Output'!B48=1,'Input &amp; Output'!A48,IF('Input &amp; Output'!B49=1,'Input &amp; Output'!A49,IF('Input &amp; Output'!B50=1,'Input &amp; Output'!A50,IF('Input &amp; Output'!B51=1,'Input &amp; Output'!A51,IF('Input &amp; Output'!B52=1,'Input &amp; Output'!A52,IF('Input &amp; Output'!B53=1,'Input &amp; Output'!A53,"Fejl!"))))))</f>
        <v>SD351</v>
      </c>
      <c r="F33" s="33"/>
      <c r="G33" s="157">
        <f>IF(E35="-","Den valgte bjælketype overholder ikke kravene!","")</f>
      </c>
      <c r="H33" s="2"/>
      <c r="I33" s="8"/>
      <c r="J33" s="8"/>
      <c r="K33" s="105"/>
    </row>
    <row r="34" spans="1:11" ht="15">
      <c r="A34" s="32" t="s">
        <v>287</v>
      </c>
      <c r="B34" s="8"/>
      <c r="C34" s="8"/>
      <c r="D34" s="8"/>
      <c r="E34" s="144">
        <f>IF(E33="SD201",'Input &amp; Output'!C48,IF(E33="SD202",'Input &amp; Output'!C49,IF(E33="SD301",'Input &amp; Output'!C50,IF(E33="SD302",'Input &amp; Output'!C51,IF(E33="SD351",'Input &amp; Output'!C52,IF(E33="SD352",'Input &amp; Output'!C53,"Fejl"))))))</f>
        <v>1.4</v>
      </c>
      <c r="F34" s="33" t="s">
        <v>2</v>
      </c>
      <c r="G34" s="2"/>
      <c r="H34" s="2"/>
      <c r="I34" s="8"/>
      <c r="J34" s="8"/>
      <c r="K34" s="105"/>
    </row>
    <row r="35" spans="1:11" ht="18">
      <c r="A35" s="32" t="s">
        <v>168</v>
      </c>
      <c r="B35" s="8"/>
      <c r="C35" s="8"/>
      <c r="D35" s="8"/>
      <c r="E35" s="90">
        <f>IF(E33="SD201",'Input &amp; Output'!D48,IF(E33="SD202",'Input &amp; Output'!D49,IF(E33="SD301",'Input &amp; Output'!D50,IF(E33="SD302",'Input &amp; Output'!D51,IF(E33="SD351",'Input &amp; Output'!D52,IF(E33="SD352",'Input &amp; Output'!D53,"Fejl"))))))</f>
        <v>0.4953505671428572</v>
      </c>
      <c r="F35" s="46" t="s">
        <v>6</v>
      </c>
      <c r="H35" s="2"/>
      <c r="I35" s="8"/>
      <c r="J35" s="8"/>
      <c r="K35" s="105"/>
    </row>
    <row r="36" spans="1:10" ht="15">
      <c r="A36" s="32" t="s">
        <v>188</v>
      </c>
      <c r="B36" s="105"/>
      <c r="C36" s="105"/>
      <c r="D36" s="105"/>
      <c r="E36" s="134" t="str">
        <f>'Input &amp; Output'!C19</f>
        <v>Nej</v>
      </c>
      <c r="F36" s="33"/>
      <c r="G36" s="2"/>
      <c r="H36" s="2"/>
      <c r="I36" s="2"/>
      <c r="J36" s="2"/>
    </row>
    <row r="37" spans="1:10" ht="15">
      <c r="A37" s="34" t="s">
        <v>264</v>
      </c>
      <c r="B37" s="128"/>
      <c r="C37" s="128"/>
      <c r="D37" s="128"/>
      <c r="E37" s="188">
        <f>IF(E33="SD201",'Input &amp; Output'!G48,IF(E33="SD202",'Input &amp; Output'!G49,IF(E33="SD301",'Input &amp; Output'!G50,IF(E33="SD302",'Input &amp; Output'!G51,IF(E33="SD351",'Input &amp; Output'!G52,IF(E33="SD352",'Input &amp; Output'!G53,"Fejl"))))))</f>
        <v>5.437638998000134</v>
      </c>
      <c r="F37" s="36" t="s">
        <v>262</v>
      </c>
      <c r="G37" s="2"/>
      <c r="H37" s="2"/>
      <c r="I37" s="2"/>
      <c r="J37" s="2"/>
    </row>
    <row r="38" ht="15">
      <c r="J38" s="2"/>
    </row>
    <row r="39" spans="9:10" ht="15"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7:10" ht="15">
      <c r="G43" s="2"/>
      <c r="H43" s="2"/>
      <c r="I43" s="2"/>
      <c r="J43" s="2"/>
    </row>
    <row r="44" spans="7:10" ht="15">
      <c r="G44" s="2"/>
      <c r="H44" s="2"/>
      <c r="I44" s="2"/>
      <c r="J44" s="2"/>
    </row>
    <row r="45" spans="7:10" ht="15">
      <c r="G45" s="2"/>
      <c r="H45" s="2"/>
      <c r="I45" s="2"/>
      <c r="J45" s="2"/>
    </row>
    <row r="46" spans="7:10" ht="15">
      <c r="G46" s="2"/>
      <c r="H46" s="2"/>
      <c r="I46" s="2"/>
      <c r="J46" s="2"/>
    </row>
    <row r="47" spans="7:10" ht="15">
      <c r="G47" s="2"/>
      <c r="H47" s="2"/>
      <c r="I47" s="2"/>
      <c r="J47" s="2"/>
    </row>
    <row r="48" spans="7:10" ht="15"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84"/>
  <sheetViews>
    <sheetView zoomScale="75" zoomScaleNormal="75" zoomScalePageLayoutView="0" workbookViewId="0" topLeftCell="A1">
      <selection activeCell="I49" sqref="I49"/>
    </sheetView>
  </sheetViews>
  <sheetFormatPr defaultColWidth="9.140625" defaultRowHeight="12.75"/>
  <cols>
    <col min="1" max="1" width="10.00390625" style="0" customWidth="1"/>
    <col min="2" max="2" width="15.00390625" style="0" customWidth="1"/>
    <col min="3" max="3" width="9.421875" style="0" bestFit="1" customWidth="1"/>
    <col min="4" max="4" width="12.8515625" style="0" customWidth="1"/>
    <col min="5" max="5" width="9.00390625" style="0" customWidth="1"/>
    <col min="6" max="9" width="8.28125" style="0" customWidth="1"/>
    <col min="12" max="12" width="9.7109375" style="0" customWidth="1"/>
  </cols>
  <sheetData>
    <row r="2" spans="1:21" ht="15">
      <c r="A2" s="1" t="s">
        <v>62</v>
      </c>
      <c r="K2" s="28" t="s">
        <v>114</v>
      </c>
      <c r="L2" s="2"/>
      <c r="M2" s="2"/>
      <c r="N2" s="2"/>
      <c r="O2" s="2"/>
      <c r="P2" s="2"/>
      <c r="Q2" s="2"/>
      <c r="R2" s="2" t="s">
        <v>73</v>
      </c>
      <c r="S2" s="2"/>
      <c r="T2" s="2"/>
      <c r="U2" s="2"/>
    </row>
    <row r="3" spans="1:21" ht="15">
      <c r="A3" s="1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29" t="s">
        <v>111</v>
      </c>
      <c r="B4" s="30"/>
      <c r="C4" s="29"/>
      <c r="D4" s="31"/>
      <c r="E4" s="131">
        <f>0.4*0.35</f>
        <v>0.13999999999999999</v>
      </c>
      <c r="F4" s="31"/>
      <c r="K4" s="59" t="s">
        <v>115</v>
      </c>
      <c r="L4" s="112" t="s">
        <v>117</v>
      </c>
      <c r="M4" s="61" t="s">
        <v>116</v>
      </c>
      <c r="N4" s="61"/>
      <c r="O4" s="61"/>
      <c r="P4" s="62"/>
      <c r="Q4" s="2"/>
      <c r="R4" s="59" t="s">
        <v>213</v>
      </c>
      <c r="S4" s="179" t="s">
        <v>74</v>
      </c>
      <c r="T4" s="179" t="s">
        <v>271</v>
      </c>
      <c r="U4" s="180" t="s">
        <v>75</v>
      </c>
    </row>
    <row r="5" spans="1:21" ht="15">
      <c r="A5" s="32" t="s">
        <v>112</v>
      </c>
      <c r="B5" s="8"/>
      <c r="C5" s="32"/>
      <c r="D5" s="33"/>
      <c r="E5" s="108">
        <f>0.02</f>
        <v>0.02</v>
      </c>
      <c r="F5" s="33"/>
      <c r="H5" s="111" t="s">
        <v>139</v>
      </c>
      <c r="K5" s="9">
        <v>1</v>
      </c>
      <c r="L5" s="103">
        <f>0.0604</f>
        <v>0.0604</v>
      </c>
      <c r="M5" s="30" t="s">
        <v>86</v>
      </c>
      <c r="N5" s="30"/>
      <c r="O5" s="30"/>
      <c r="P5" s="31"/>
      <c r="Q5" s="2"/>
      <c r="R5" s="10" t="s">
        <v>272</v>
      </c>
      <c r="S5" s="13" t="s">
        <v>272</v>
      </c>
      <c r="T5" s="13" t="s">
        <v>273</v>
      </c>
      <c r="U5" s="181" t="s">
        <v>273</v>
      </c>
    </row>
    <row r="6" spans="1:21" ht="15">
      <c r="A6" s="49" t="s">
        <v>118</v>
      </c>
      <c r="B6" s="8"/>
      <c r="C6" s="32">
        <f>IF('Input &amp; Output'!C17:E17=M5,1,IF('Input &amp; Output'!C17:E17=M6,2,IF('Input &amp; Output'!C17:E17=M7,3,IF('Input &amp; Output'!C17:E17=M8,4))))</f>
        <v>2</v>
      </c>
      <c r="D6" s="33"/>
      <c r="E6" s="108">
        <f>IF(C6=1,L5,IF(C6=2,L6,IF(C6=3,L7,IF(C6=4,L8,"-"))))</f>
        <v>0.1144</v>
      </c>
      <c r="F6" s="33"/>
      <c r="H6" s="111" t="b">
        <f>IF(Beregninger!E14=R4,IF(C6=K5,R5,IF(Laster!C6=K6,R6,IF(Laster!C6=Laster!K7,Laster!R7,IF(C6=K8,R8)))),IF(Beregninger!E14=S4,IF(C6=K5,S5,IF(Laster!C6=K6,S6,IF(Laster!C6=Laster!K7,Laster!S7,IF(C6=K8,S8)))),IF(Beregninger!E14=T4,IF(C6=K5,T5,IF(Laster!C6=K6,T6,IF(Laster!C6=Laster!K7,Laster!T7,IF(C6=K8,T8)))),IF(Beregninger!E14=U4,IF(C6=K5,U5,IF(Laster!C6=K6,U6,IF(Laster!C6=Laster!K7,Laster!U7,IF(C6=K8,U8))))))))</f>
        <v>0</v>
      </c>
      <c r="K6" s="10">
        <v>2</v>
      </c>
      <c r="L6" s="104">
        <f>0.0604+1.8*30*10^-3</f>
        <v>0.1144</v>
      </c>
      <c r="M6" s="8" t="s">
        <v>288</v>
      </c>
      <c r="N6" s="8"/>
      <c r="O6" s="8"/>
      <c r="P6" s="33"/>
      <c r="Q6" s="2"/>
      <c r="R6" s="10" t="s">
        <v>272</v>
      </c>
      <c r="S6" s="13" t="s">
        <v>272</v>
      </c>
      <c r="T6" s="13" t="s">
        <v>272</v>
      </c>
      <c r="U6" s="181" t="s">
        <v>272</v>
      </c>
    </row>
    <row r="7" spans="1:21" ht="15">
      <c r="A7" s="32" t="s">
        <v>119</v>
      </c>
      <c r="B7" s="8"/>
      <c r="C7" s="32">
        <f>IF('Input &amp; Output'!C18:E18=M13,1,IF('Input &amp; Output'!C18:E18=M14,2,IF('Input &amp; Output'!C18:E18=M15,3,IF('Input &amp; Output'!C18:E18=M16,4,IF('Input &amp; Output'!C18:E18=M17,5)))))</f>
        <v>2</v>
      </c>
      <c r="D7" s="33"/>
      <c r="E7" s="108">
        <f>IF(C7=1,L13,IF(C7=2,L14,IF(C7=3,L15,IF(C7=4,L16,IF(C7=5,L17,"-")))))</f>
        <v>0.09640000000000001</v>
      </c>
      <c r="F7" s="46"/>
      <c r="H7" s="111" t="b">
        <f>IF(Beregninger!E14=R12,IF(C7=K13,R13,IF(C7=K14,R14,IF(C7=K15,R15,IF(C7=K16,R16,IF(C7=K17,R17))))),IF(Beregninger!E14=S12,IF(C7=K13,S13,IF(C7=K14,S14,IF(C7=K15,S15,IF(C7=K16,S16,IF(C7=K17,S17))))),IF(Beregninger!E14=T12,IF(C7=K13,T13,IF(C7=K14,T14,IF(C7=K15,T15,IF(C7=K16,T16,IF(C7=K17,T17))))),IF(Beregninger!E14=U12,IF(C7=K13,U13,IF(C7=K14,U14,IF(C7=K15,U15,IF(C7=K16,U16,U17))))))))</f>
        <v>0</v>
      </c>
      <c r="K7" s="10">
        <v>3</v>
      </c>
      <c r="L7" s="104">
        <f>0.0604+1.8*30*10^-3+0.04</f>
        <v>0.1544</v>
      </c>
      <c r="M7" s="48" t="s">
        <v>289</v>
      </c>
      <c r="N7" s="8"/>
      <c r="O7" s="8"/>
      <c r="P7" s="186"/>
      <c r="Q7" s="2"/>
      <c r="R7" s="10" t="s">
        <v>272</v>
      </c>
      <c r="S7" s="13" t="s">
        <v>272</v>
      </c>
      <c r="T7" s="13" t="s">
        <v>272</v>
      </c>
      <c r="U7" s="18" t="s">
        <v>272</v>
      </c>
    </row>
    <row r="8" spans="1:22" ht="18">
      <c r="A8" s="34" t="s">
        <v>113</v>
      </c>
      <c r="B8" s="35"/>
      <c r="C8" s="34" t="s">
        <v>200</v>
      </c>
      <c r="D8" s="36"/>
      <c r="E8" s="110">
        <f>SUM(E4:E7)</f>
        <v>0.3708</v>
      </c>
      <c r="F8" s="50" t="s">
        <v>6</v>
      </c>
      <c r="K8" s="140">
        <v>4</v>
      </c>
      <c r="L8" s="5">
        <v>0</v>
      </c>
      <c r="M8" s="155" t="s">
        <v>286</v>
      </c>
      <c r="N8" s="128"/>
      <c r="O8" s="128"/>
      <c r="P8" s="76"/>
      <c r="Q8" s="105"/>
      <c r="R8" s="11" t="s">
        <v>273</v>
      </c>
      <c r="S8" s="19" t="s">
        <v>273</v>
      </c>
      <c r="T8" s="19" t="s">
        <v>273</v>
      </c>
      <c r="U8" s="20" t="s">
        <v>273</v>
      </c>
      <c r="V8" s="105"/>
    </row>
    <row r="9" spans="1:17" ht="15">
      <c r="A9" s="8"/>
      <c r="B9" s="8"/>
      <c r="C9" s="8"/>
      <c r="D9" s="8"/>
      <c r="E9" s="108"/>
      <c r="F9" s="51"/>
      <c r="K9" s="111"/>
      <c r="L9" s="111"/>
      <c r="M9" s="2"/>
      <c r="N9" s="2"/>
      <c r="O9" s="2"/>
      <c r="P9" s="2"/>
      <c r="Q9" s="2"/>
    </row>
    <row r="10" spans="1:17" ht="15">
      <c r="A10" s="65" t="s">
        <v>215</v>
      </c>
      <c r="B10" s="8"/>
      <c r="C10" s="8"/>
      <c r="D10" s="8"/>
      <c r="E10" s="108"/>
      <c r="F10" s="51"/>
      <c r="K10" s="28" t="s">
        <v>120</v>
      </c>
      <c r="L10" s="2"/>
      <c r="M10" s="2"/>
      <c r="N10" s="2"/>
      <c r="O10" s="2"/>
      <c r="P10" s="2"/>
      <c r="Q10" s="2"/>
    </row>
    <row r="11" spans="1:17" ht="15">
      <c r="A11" s="8"/>
      <c r="B11" s="8"/>
      <c r="C11" s="8"/>
      <c r="D11" s="8"/>
      <c r="E11" s="108"/>
      <c r="F11" s="51"/>
      <c r="K11" s="2"/>
      <c r="L11" s="2"/>
      <c r="M11" s="2"/>
      <c r="N11" s="2"/>
      <c r="O11" s="2"/>
      <c r="P11" s="2"/>
      <c r="Q11" s="2"/>
    </row>
    <row r="12" spans="1:21" ht="15">
      <c r="A12" s="29" t="s">
        <v>216</v>
      </c>
      <c r="B12" s="30"/>
      <c r="C12" s="30"/>
      <c r="D12" s="30"/>
      <c r="E12" s="64" t="str">
        <f>'Input &amp; Output'!C24</f>
        <v>Bolig</v>
      </c>
      <c r="F12" s="63"/>
      <c r="K12" s="59" t="s">
        <v>115</v>
      </c>
      <c r="L12" s="112" t="s">
        <v>117</v>
      </c>
      <c r="M12" s="61" t="s">
        <v>116</v>
      </c>
      <c r="N12" s="61"/>
      <c r="O12" s="61"/>
      <c r="P12" s="62"/>
      <c r="Q12" s="2"/>
      <c r="R12" s="59" t="s">
        <v>213</v>
      </c>
      <c r="S12" s="179" t="s">
        <v>74</v>
      </c>
      <c r="T12" s="179" t="s">
        <v>271</v>
      </c>
      <c r="U12" s="180" t="s">
        <v>75</v>
      </c>
    </row>
    <row r="13" spans="1:21" ht="18">
      <c r="A13" s="32" t="s">
        <v>215</v>
      </c>
      <c r="B13" s="8"/>
      <c r="C13" s="8"/>
      <c r="D13" s="8"/>
      <c r="E13" s="90">
        <f>IF(E12=A17,D17,IF(E12=A18,D18,IF(E12=A19,D19,IF(E12=A20,D20,IF(E12=A21,D21,IF(E12=A22,D22,IF(E12=A23,D23,"Fejl!")))))))</f>
        <v>1.5</v>
      </c>
      <c r="F13" s="46" t="s">
        <v>6</v>
      </c>
      <c r="K13" s="9">
        <v>1</v>
      </c>
      <c r="L13" s="103">
        <v>0.0604</v>
      </c>
      <c r="M13" s="30" t="s">
        <v>86</v>
      </c>
      <c r="N13" s="30"/>
      <c r="O13" s="30"/>
      <c r="P13" s="31"/>
      <c r="Q13" s="2"/>
      <c r="R13" s="10" t="s">
        <v>272</v>
      </c>
      <c r="S13" s="13" t="s">
        <v>272</v>
      </c>
      <c r="T13" s="13" t="s">
        <v>273</v>
      </c>
      <c r="U13" s="181" t="s">
        <v>273</v>
      </c>
    </row>
    <row r="14" spans="1:21" ht="15">
      <c r="A14" s="93" t="s">
        <v>250</v>
      </c>
      <c r="B14" s="35"/>
      <c r="C14" s="35"/>
      <c r="D14" s="35"/>
      <c r="E14" s="34">
        <f>IF(E12=A17,E17,IF(E12=A18,E18,IF(E12=A19,E19,IF(E12=A20,E20,IF(E12=A21,E21,IF(E12=A22,E22,IF(E12=A23,E23,"Fejl!")))))))</f>
        <v>0.2</v>
      </c>
      <c r="F14" s="50" t="s">
        <v>44</v>
      </c>
      <c r="K14" s="10">
        <v>2</v>
      </c>
      <c r="L14" s="104">
        <f>0.0604+1.8*20*10^-3</f>
        <v>0.09640000000000001</v>
      </c>
      <c r="M14" s="8" t="s">
        <v>184</v>
      </c>
      <c r="N14" s="8"/>
      <c r="O14" s="8"/>
      <c r="P14" s="33"/>
      <c r="Q14" s="2"/>
      <c r="R14" s="10" t="s">
        <v>272</v>
      </c>
      <c r="S14" s="13" t="s">
        <v>272</v>
      </c>
      <c r="T14" s="13" t="s">
        <v>272</v>
      </c>
      <c r="U14" s="181" t="s">
        <v>272</v>
      </c>
    </row>
    <row r="15" spans="1:22" ht="15">
      <c r="A15" s="8"/>
      <c r="B15" s="8"/>
      <c r="C15" s="8"/>
      <c r="D15" s="8"/>
      <c r="E15" s="108"/>
      <c r="F15" s="51"/>
      <c r="K15" s="10">
        <v>3</v>
      </c>
      <c r="L15" s="104">
        <f>0.06</f>
        <v>0.06</v>
      </c>
      <c r="M15" s="8" t="s">
        <v>185</v>
      </c>
      <c r="N15" s="8"/>
      <c r="O15" s="8"/>
      <c r="P15" s="33"/>
      <c r="Q15" s="2"/>
      <c r="R15" s="10" t="s">
        <v>272</v>
      </c>
      <c r="S15" s="13" t="s">
        <v>273</v>
      </c>
      <c r="T15" s="13" t="s">
        <v>273</v>
      </c>
      <c r="U15" s="18" t="s">
        <v>273</v>
      </c>
      <c r="V15" s="105"/>
    </row>
    <row r="16" spans="1:21" ht="18">
      <c r="A16" s="173" t="s">
        <v>217</v>
      </c>
      <c r="B16" s="61"/>
      <c r="C16" s="174"/>
      <c r="D16" s="112" t="s">
        <v>251</v>
      </c>
      <c r="E16" s="112" t="s">
        <v>252</v>
      </c>
      <c r="F16" s="51"/>
      <c r="K16" s="4">
        <v>4</v>
      </c>
      <c r="L16" s="104">
        <f>0.06+0.4*45*10^-3</f>
        <v>0.078</v>
      </c>
      <c r="M16" s="48" t="s">
        <v>186</v>
      </c>
      <c r="N16" s="8"/>
      <c r="O16" s="8"/>
      <c r="P16" s="33"/>
      <c r="Q16" s="2"/>
      <c r="R16" s="4" t="s">
        <v>272</v>
      </c>
      <c r="S16" s="12" t="s">
        <v>273</v>
      </c>
      <c r="T16" s="12" t="s">
        <v>273</v>
      </c>
      <c r="U16" s="181" t="s">
        <v>273</v>
      </c>
    </row>
    <row r="17" spans="1:21" ht="15">
      <c r="A17" s="29" t="s">
        <v>218</v>
      </c>
      <c r="B17" s="30"/>
      <c r="C17" s="30"/>
      <c r="D17" s="56">
        <v>1.5</v>
      </c>
      <c r="E17" s="175">
        <v>0.2</v>
      </c>
      <c r="F17" s="51"/>
      <c r="K17" s="140">
        <v>5</v>
      </c>
      <c r="L17" s="5">
        <v>0</v>
      </c>
      <c r="M17" s="155" t="s">
        <v>286</v>
      </c>
      <c r="N17" s="128"/>
      <c r="O17" s="128"/>
      <c r="P17" s="76"/>
      <c r="Q17" s="8"/>
      <c r="R17" s="11" t="s">
        <v>273</v>
      </c>
      <c r="S17" s="19" t="s">
        <v>273</v>
      </c>
      <c r="T17" s="19" t="s">
        <v>273</v>
      </c>
      <c r="U17" s="20" t="s">
        <v>273</v>
      </c>
    </row>
    <row r="18" spans="1:17" ht="15">
      <c r="A18" s="32" t="s">
        <v>219</v>
      </c>
      <c r="B18" s="8"/>
      <c r="C18" s="8"/>
      <c r="D18" s="78">
        <v>2.5</v>
      </c>
      <c r="E18" s="171">
        <v>0.2</v>
      </c>
      <c r="F18" s="51"/>
      <c r="Q18" s="2"/>
    </row>
    <row r="19" spans="1:17" ht="15">
      <c r="A19" s="32" t="s">
        <v>220</v>
      </c>
      <c r="B19" s="8"/>
      <c r="C19" s="8"/>
      <c r="D19" s="78">
        <v>2.5</v>
      </c>
      <c r="E19" s="171">
        <v>0.5</v>
      </c>
      <c r="F19" s="51"/>
      <c r="Q19" s="2"/>
    </row>
    <row r="20" spans="1:17" ht="15">
      <c r="A20" s="32" t="s">
        <v>221</v>
      </c>
      <c r="B20" s="8"/>
      <c r="C20" s="8"/>
      <c r="D20" s="171">
        <v>4</v>
      </c>
      <c r="E20" s="171">
        <v>0.5</v>
      </c>
      <c r="F20" s="51"/>
      <c r="Q20" s="2"/>
    </row>
    <row r="21" spans="1:17" ht="15">
      <c r="A21" s="32" t="s">
        <v>222</v>
      </c>
      <c r="B21" s="8"/>
      <c r="C21" s="8"/>
      <c r="D21" s="171">
        <v>5</v>
      </c>
      <c r="E21" s="171">
        <v>0.5</v>
      </c>
      <c r="F21" s="51"/>
      <c r="Q21" s="2"/>
    </row>
    <row r="22" spans="1:17" ht="15">
      <c r="A22" s="32" t="s">
        <v>223</v>
      </c>
      <c r="B22" s="8"/>
      <c r="C22" s="8"/>
      <c r="D22" s="171">
        <v>4</v>
      </c>
      <c r="E22" s="171">
        <v>0.5</v>
      </c>
      <c r="F22" s="51"/>
      <c r="Q22" s="2"/>
    </row>
    <row r="23" spans="1:17" ht="15">
      <c r="A23" s="34" t="s">
        <v>224</v>
      </c>
      <c r="B23" s="35"/>
      <c r="C23" s="35"/>
      <c r="D23" s="172">
        <v>5</v>
      </c>
      <c r="E23" s="172">
        <v>0.5</v>
      </c>
      <c r="F23" s="51"/>
      <c r="Q23" s="2"/>
    </row>
    <row r="24" spans="6:17" ht="15">
      <c r="F24" s="51"/>
      <c r="Q24" s="2"/>
    </row>
    <row r="25" spans="1:17" ht="15">
      <c r="A25" s="98" t="s">
        <v>246</v>
      </c>
      <c r="D25" s="28" t="s">
        <v>259</v>
      </c>
      <c r="Q25" s="2"/>
    </row>
    <row r="26" spans="4:17" ht="15">
      <c r="D26" s="2"/>
      <c r="Q26" s="2"/>
    </row>
    <row r="27" spans="1:17" ht="15">
      <c r="A27" s="163" t="s">
        <v>79</v>
      </c>
      <c r="D27" s="56" t="s">
        <v>79</v>
      </c>
      <c r="F27" s="105"/>
      <c r="Q27" s="2"/>
    </row>
    <row r="28" spans="1:17" ht="15">
      <c r="A28" s="78">
        <v>20</v>
      </c>
      <c r="D28" s="78">
        <v>5</v>
      </c>
      <c r="Q28" s="2"/>
    </row>
    <row r="29" spans="1:17" ht="15">
      <c r="A29" s="78">
        <v>30</v>
      </c>
      <c r="D29" s="78">
        <v>6</v>
      </c>
      <c r="Q29" s="2"/>
    </row>
    <row r="30" spans="1:17" ht="15">
      <c r="A30" s="78">
        <v>40</v>
      </c>
      <c r="D30" s="78">
        <v>7</v>
      </c>
      <c r="Q30" s="2"/>
    </row>
    <row r="31" spans="1:17" ht="15">
      <c r="A31" s="78">
        <v>50</v>
      </c>
      <c r="D31" s="78">
        <v>8</v>
      </c>
      <c r="Q31" s="2"/>
    </row>
    <row r="32" spans="1:17" ht="15">
      <c r="A32" s="78">
        <v>60</v>
      </c>
      <c r="D32" s="78">
        <v>9</v>
      </c>
      <c r="Q32" s="2"/>
    </row>
    <row r="33" spans="1:17" ht="15">
      <c r="A33" s="78">
        <v>70</v>
      </c>
      <c r="B33" s="8"/>
      <c r="C33" s="8"/>
      <c r="D33" s="57">
        <v>10</v>
      </c>
      <c r="Q33" s="2"/>
    </row>
    <row r="34" spans="1:17" ht="15">
      <c r="A34" s="78">
        <v>80</v>
      </c>
      <c r="B34" s="8"/>
      <c r="C34" s="8"/>
      <c r="Q34" s="2"/>
    </row>
    <row r="35" spans="1:17" ht="15">
      <c r="A35" s="78">
        <v>90</v>
      </c>
      <c r="B35" s="8"/>
      <c r="C35" s="8"/>
      <c r="D35" s="28" t="s">
        <v>73</v>
      </c>
      <c r="Q35" s="2"/>
    </row>
    <row r="36" spans="1:17" ht="15">
      <c r="A36" s="57">
        <v>100</v>
      </c>
      <c r="B36" s="8"/>
      <c r="C36" s="8"/>
      <c r="D36" s="2"/>
      <c r="Q36" s="2"/>
    </row>
    <row r="37" spans="1:17" ht="15">
      <c r="A37" s="8"/>
      <c r="B37" s="8"/>
      <c r="C37" s="8"/>
      <c r="D37" s="56" t="s">
        <v>213</v>
      </c>
      <c r="E37" s="2"/>
      <c r="Q37" s="2"/>
    </row>
    <row r="38" spans="1:4" ht="15">
      <c r="A38" s="28" t="s">
        <v>80</v>
      </c>
      <c r="D38" s="78" t="s">
        <v>74</v>
      </c>
    </row>
    <row r="39" spans="1:4" ht="15">
      <c r="A39" s="2"/>
      <c r="D39" s="78" t="s">
        <v>271</v>
      </c>
    </row>
    <row r="40" spans="1:5" ht="15">
      <c r="A40" s="81">
        <v>0.05</v>
      </c>
      <c r="D40" s="78" t="s">
        <v>75</v>
      </c>
      <c r="E40" s="105"/>
    </row>
    <row r="41" spans="1:4" ht="15">
      <c r="A41" s="82">
        <v>0.1</v>
      </c>
      <c r="D41" s="57" t="s">
        <v>79</v>
      </c>
    </row>
    <row r="42" spans="1:4" ht="15">
      <c r="A42" s="82">
        <v>0.15</v>
      </c>
      <c r="D42" s="2"/>
    </row>
    <row r="43" spans="1:4" ht="15">
      <c r="A43" s="82">
        <v>0.2</v>
      </c>
      <c r="D43" s="98" t="s">
        <v>87</v>
      </c>
    </row>
    <row r="44" spans="1:4" ht="15">
      <c r="A44" s="82">
        <v>0.25</v>
      </c>
      <c r="D44" s="2"/>
    </row>
    <row r="45" spans="1:5" ht="15">
      <c r="A45" s="82">
        <v>0.3</v>
      </c>
      <c r="D45" s="92" t="s">
        <v>89</v>
      </c>
      <c r="E45" s="75"/>
    </row>
    <row r="46" spans="1:5" ht="15">
      <c r="A46" s="83" t="s">
        <v>79</v>
      </c>
      <c r="D46" s="34" t="s">
        <v>88</v>
      </c>
      <c r="E46" s="76"/>
    </row>
    <row r="47" ht="15">
      <c r="D47" s="2"/>
    </row>
    <row r="48" spans="1:7" ht="15">
      <c r="A48" s="28" t="s">
        <v>128</v>
      </c>
      <c r="D48" s="123" t="s">
        <v>86</v>
      </c>
      <c r="G48" s="105"/>
    </row>
    <row r="49" spans="1:7" ht="15">
      <c r="A49" s="2"/>
      <c r="D49" s="8"/>
      <c r="F49" s="105"/>
      <c r="G49" s="105"/>
    </row>
    <row r="50" spans="1:7" ht="15">
      <c r="A50" s="56" t="s">
        <v>129</v>
      </c>
      <c r="D50" s="124">
        <v>0.65</v>
      </c>
      <c r="E50" s="105"/>
      <c r="F50" s="105"/>
      <c r="G50" s="105"/>
    </row>
    <row r="51" spans="1:7" ht="15">
      <c r="A51" s="78" t="s">
        <v>130</v>
      </c>
      <c r="D51" s="125">
        <v>0.7</v>
      </c>
      <c r="E51" s="105"/>
      <c r="F51" s="105"/>
      <c r="G51" s="105"/>
    </row>
    <row r="52" spans="1:7" ht="15">
      <c r="A52" s="57" t="s">
        <v>131</v>
      </c>
      <c r="D52" s="126">
        <v>0.75</v>
      </c>
      <c r="E52" s="105"/>
      <c r="F52" s="105"/>
      <c r="G52" s="105"/>
    </row>
    <row r="53" spans="1:7" ht="15">
      <c r="A53" s="54"/>
      <c r="D53" s="8"/>
      <c r="E53" s="105"/>
      <c r="F53" s="105"/>
      <c r="G53" s="105"/>
    </row>
    <row r="54" spans="1:7" ht="15">
      <c r="A54" s="28" t="s">
        <v>100</v>
      </c>
      <c r="B54" s="8"/>
      <c r="D54" s="27" t="s">
        <v>162</v>
      </c>
      <c r="E54" s="105"/>
      <c r="F54" s="105"/>
      <c r="G54" s="105"/>
    </row>
    <row r="55" spans="1:7" ht="15">
      <c r="A55" s="122"/>
      <c r="B55" s="8"/>
      <c r="D55" s="27"/>
      <c r="E55" s="105"/>
      <c r="F55" s="105"/>
      <c r="G55" s="105"/>
    </row>
    <row r="56" spans="1:7" ht="15">
      <c r="A56" s="81">
        <v>1</v>
      </c>
      <c r="B56" s="8"/>
      <c r="D56" s="56" t="s">
        <v>163</v>
      </c>
      <c r="E56" s="105"/>
      <c r="F56" s="105"/>
      <c r="G56" s="105"/>
    </row>
    <row r="57" spans="1:7" ht="15">
      <c r="A57" s="83">
        <v>2</v>
      </c>
      <c r="B57" s="8"/>
      <c r="D57" s="83" t="s">
        <v>164</v>
      </c>
      <c r="E57" s="105"/>
      <c r="F57" s="105"/>
      <c r="G57" s="105"/>
    </row>
    <row r="58" spans="2:6" ht="15">
      <c r="B58" s="8"/>
      <c r="E58" s="105"/>
      <c r="F58" s="105"/>
    </row>
    <row r="59" spans="1:5" ht="15">
      <c r="A59" s="28" t="s">
        <v>148</v>
      </c>
      <c r="D59" s="28" t="s">
        <v>170</v>
      </c>
      <c r="E59" s="105"/>
    </row>
    <row r="60" spans="1:4" ht="15">
      <c r="A60" s="2"/>
      <c r="D60" s="2"/>
    </row>
    <row r="61" spans="1:8" ht="15">
      <c r="A61" s="56" t="s">
        <v>21</v>
      </c>
      <c r="D61" s="56" t="s">
        <v>172</v>
      </c>
      <c r="E61" s="8"/>
      <c r="H61" s="105"/>
    </row>
    <row r="62" spans="1:8" ht="15">
      <c r="A62" s="78" t="s">
        <v>22</v>
      </c>
      <c r="D62" s="78" t="s">
        <v>171</v>
      </c>
      <c r="E62" s="8"/>
      <c r="H62" s="105"/>
    </row>
    <row r="63" spans="1:8" ht="15">
      <c r="A63" s="78" t="s">
        <v>23</v>
      </c>
      <c r="D63" s="147" t="s">
        <v>173</v>
      </c>
      <c r="E63" s="8"/>
      <c r="H63" s="105"/>
    </row>
    <row r="64" spans="1:8" ht="15">
      <c r="A64" s="78" t="s">
        <v>24</v>
      </c>
      <c r="B64" s="8"/>
      <c r="D64" s="105"/>
      <c r="E64" s="8"/>
      <c r="H64" s="105"/>
    </row>
    <row r="65" spans="1:8" ht="15">
      <c r="A65" s="78" t="s">
        <v>25</v>
      </c>
      <c r="B65" s="8"/>
      <c r="D65" s="98" t="s">
        <v>190</v>
      </c>
      <c r="E65" s="105"/>
      <c r="H65" s="105"/>
    </row>
    <row r="66" spans="1:8" ht="15">
      <c r="A66" s="57" t="s">
        <v>26</v>
      </c>
      <c r="D66" s="105"/>
      <c r="E66" s="105"/>
      <c r="H66" s="105"/>
    </row>
    <row r="67" spans="4:8" ht="15">
      <c r="D67" s="163" t="s">
        <v>163</v>
      </c>
      <c r="E67" s="105"/>
      <c r="H67" s="105"/>
    </row>
    <row r="68" spans="4:8" ht="15">
      <c r="D68" s="147" t="s">
        <v>164</v>
      </c>
      <c r="E68" s="105"/>
      <c r="H68" s="105"/>
    </row>
    <row r="70" ht="15">
      <c r="D70" s="123" t="s">
        <v>141</v>
      </c>
    </row>
    <row r="71" spans="4:7" ht="15">
      <c r="D71" s="122"/>
      <c r="G71" s="105"/>
    </row>
    <row r="72" spans="4:7" ht="15">
      <c r="D72" s="81">
        <v>0</v>
      </c>
      <c r="E72" s="8"/>
      <c r="F72" s="105"/>
      <c r="G72" s="105"/>
    </row>
    <row r="73" spans="4:7" ht="15">
      <c r="D73" s="152">
        <v>5</v>
      </c>
      <c r="E73" s="8"/>
      <c r="F73" s="105"/>
      <c r="G73" s="105"/>
    </row>
    <row r="74" spans="4:7" ht="15">
      <c r="D74" s="127">
        <v>10</v>
      </c>
      <c r="E74" s="8"/>
      <c r="F74" s="105"/>
      <c r="G74" s="105"/>
    </row>
    <row r="75" spans="5:7" ht="15">
      <c r="E75" s="8"/>
      <c r="F75" s="105"/>
      <c r="G75" s="105"/>
    </row>
    <row r="76" spans="5:7" ht="12.75">
      <c r="E76" s="105"/>
      <c r="F76" s="105"/>
      <c r="G76" s="105"/>
    </row>
    <row r="78" spans="1:2" ht="15">
      <c r="A78" s="122"/>
      <c r="B78" s="8"/>
    </row>
    <row r="79" spans="1:2" ht="15">
      <c r="A79" s="122"/>
      <c r="B79" s="8"/>
    </row>
    <row r="80" spans="1:2" ht="15">
      <c r="A80" s="122"/>
      <c r="B80" s="8"/>
    </row>
    <row r="81" spans="1:2" ht="15">
      <c r="A81" s="122"/>
      <c r="B81" s="105"/>
    </row>
    <row r="82" spans="1:2" ht="15">
      <c r="A82" s="122"/>
      <c r="B82" s="105"/>
    </row>
    <row r="83" spans="1:2" ht="15">
      <c r="A83" s="122"/>
      <c r="B83" s="105"/>
    </row>
    <row r="84" spans="1:2" ht="15">
      <c r="A84" s="54"/>
      <c r="B84" s="10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J262"/>
  <sheetViews>
    <sheetView zoomScale="75" zoomScaleNormal="75" zoomScalePageLayoutView="0" workbookViewId="0" topLeftCell="A39">
      <selection activeCell="C64" sqref="C64"/>
    </sheetView>
  </sheetViews>
  <sheetFormatPr defaultColWidth="9.140625" defaultRowHeight="12.75"/>
  <cols>
    <col min="1" max="1" width="16.28125" style="0" customWidth="1"/>
    <col min="2" max="2" width="15.57421875" style="0" customWidth="1"/>
    <col min="3" max="3" width="17.7109375" style="0" customWidth="1"/>
    <col min="4" max="4" width="19.140625" style="0" customWidth="1"/>
    <col min="5" max="5" width="14.421875" style="0" customWidth="1"/>
    <col min="6" max="6" width="19.421875" style="0" customWidth="1"/>
    <col min="7" max="7" width="20.00390625" style="0" customWidth="1"/>
    <col min="8" max="8" width="18.7109375" style="0" customWidth="1"/>
    <col min="9" max="9" width="15.421875" style="0" customWidth="1"/>
    <col min="10" max="10" width="13.00390625" style="0" customWidth="1"/>
    <col min="11" max="11" width="13.8515625" style="0" customWidth="1"/>
    <col min="12" max="12" width="13.140625" style="0" customWidth="1"/>
    <col min="13" max="13" width="15.8515625" style="0" customWidth="1"/>
    <col min="14" max="14" width="13.57421875" style="0" customWidth="1"/>
    <col min="15" max="15" width="13.8515625" style="0" customWidth="1"/>
    <col min="16" max="16" width="12.57421875" style="0" bestFit="1" customWidth="1"/>
    <col min="17" max="18" width="12.57421875" style="0" customWidth="1"/>
    <col min="19" max="19" width="10.00390625" style="0" customWidth="1"/>
    <col min="20" max="20" width="12.7109375" style="0" customWidth="1"/>
    <col min="21" max="21" width="15.57421875" style="0" customWidth="1"/>
    <col min="22" max="22" width="13.00390625" style="0" customWidth="1"/>
    <col min="23" max="23" width="15.421875" style="0" customWidth="1"/>
    <col min="24" max="24" width="13.57421875" style="0" customWidth="1"/>
    <col min="25" max="25" width="15.421875" style="0" customWidth="1"/>
    <col min="26" max="26" width="13.8515625" style="0" customWidth="1"/>
    <col min="27" max="27" width="11.421875" style="0" customWidth="1"/>
    <col min="29" max="29" width="15.421875" style="0" bestFit="1" customWidth="1"/>
  </cols>
  <sheetData>
    <row r="2" spans="1:12" ht="15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>
      <c r="A4" s="29" t="s">
        <v>1</v>
      </c>
      <c r="B4" s="31"/>
      <c r="C4" s="29" t="s">
        <v>210</v>
      </c>
      <c r="D4" s="30"/>
      <c r="E4" s="100">
        <f>'Input &amp; Output'!C14</f>
        <v>8</v>
      </c>
      <c r="F4" s="31" t="s">
        <v>2</v>
      </c>
      <c r="G4" s="29"/>
      <c r="H4" s="31"/>
      <c r="J4" s="8"/>
      <c r="K4" s="8"/>
      <c r="L4" s="8"/>
    </row>
    <row r="5" spans="1:12" ht="16.5">
      <c r="A5" s="32" t="s">
        <v>179</v>
      </c>
      <c r="B5" s="33"/>
      <c r="C5" s="8" t="s">
        <v>180</v>
      </c>
      <c r="D5" s="8"/>
      <c r="E5" s="148">
        <f>IF(E10="Simpelt understøttet",E4,IF(E10="Mellemunderstøttet",'Input &amp; Output'!C16))</f>
        <v>8</v>
      </c>
      <c r="F5" s="33" t="s">
        <v>2</v>
      </c>
      <c r="G5" s="32"/>
      <c r="H5" s="33"/>
      <c r="J5" s="8"/>
      <c r="K5" s="8"/>
      <c r="L5" s="8"/>
    </row>
    <row r="6" spans="1:12" ht="16.5">
      <c r="A6" s="32" t="s">
        <v>191</v>
      </c>
      <c r="B6" s="33"/>
      <c r="C6" s="8" t="s">
        <v>209</v>
      </c>
      <c r="D6" s="8"/>
      <c r="E6" s="148">
        <f>E5-E4</f>
        <v>0</v>
      </c>
      <c r="F6" s="33" t="s">
        <v>2</v>
      </c>
      <c r="G6" s="32" t="s">
        <v>192</v>
      </c>
      <c r="H6" s="33"/>
      <c r="J6" s="8"/>
      <c r="K6" s="8"/>
      <c r="L6" s="8"/>
    </row>
    <row r="7" spans="1:12" ht="16.5">
      <c r="A7" s="32" t="s">
        <v>274</v>
      </c>
      <c r="B7" s="33"/>
      <c r="C7" s="32" t="s">
        <v>275</v>
      </c>
      <c r="D7" s="8"/>
      <c r="E7" s="32">
        <v>0.3</v>
      </c>
      <c r="F7" s="33" t="s">
        <v>2</v>
      </c>
      <c r="G7" s="32"/>
      <c r="H7" s="33"/>
      <c r="J7" s="8"/>
      <c r="K7" s="8"/>
      <c r="L7" s="8"/>
    </row>
    <row r="8" spans="1:12" ht="15">
      <c r="A8" s="32" t="s">
        <v>86</v>
      </c>
      <c r="B8" s="33"/>
      <c r="C8" s="32" t="s">
        <v>44</v>
      </c>
      <c r="D8" s="8"/>
      <c r="E8" s="90">
        <v>0.65</v>
      </c>
      <c r="F8" s="33" t="s">
        <v>83</v>
      </c>
      <c r="G8" s="32"/>
      <c r="H8" s="33"/>
      <c r="J8" s="8"/>
      <c r="K8" s="8"/>
      <c r="L8" s="8"/>
    </row>
    <row r="9" spans="1:12" ht="15">
      <c r="A9" s="32" t="s">
        <v>100</v>
      </c>
      <c r="B9" s="33"/>
      <c r="C9" s="32" t="s">
        <v>44</v>
      </c>
      <c r="D9" s="8"/>
      <c r="E9" s="91">
        <v>1</v>
      </c>
      <c r="F9" s="33" t="s">
        <v>101</v>
      </c>
      <c r="G9" s="32"/>
      <c r="H9" s="33"/>
      <c r="J9" s="8"/>
      <c r="K9" s="8"/>
      <c r="L9" s="8"/>
    </row>
    <row r="10" spans="1:12" ht="15">
      <c r="A10" s="32" t="s">
        <v>90</v>
      </c>
      <c r="B10" s="33"/>
      <c r="C10" s="32" t="s">
        <v>44</v>
      </c>
      <c r="D10" s="8"/>
      <c r="E10" s="32" t="str">
        <f>'Input &amp; Output'!C15</f>
        <v>Simpelt understøttet</v>
      </c>
      <c r="F10" s="33"/>
      <c r="G10" s="32"/>
      <c r="H10" s="33"/>
      <c r="J10" s="8"/>
      <c r="K10" s="8"/>
      <c r="L10" s="8"/>
    </row>
    <row r="11" spans="1:12" ht="16.5">
      <c r="A11" s="32" t="s">
        <v>81</v>
      </c>
      <c r="B11" s="33"/>
      <c r="C11" s="32" t="s">
        <v>82</v>
      </c>
      <c r="D11" s="8"/>
      <c r="E11" s="32">
        <v>250</v>
      </c>
      <c r="F11" s="33" t="s">
        <v>83</v>
      </c>
      <c r="G11" s="32"/>
      <c r="H11" s="33"/>
      <c r="J11" s="8"/>
      <c r="K11" s="8"/>
      <c r="L11" s="8"/>
    </row>
    <row r="12" spans="1:12" ht="15">
      <c r="A12" s="32" t="s">
        <v>78</v>
      </c>
      <c r="B12" s="33"/>
      <c r="C12" s="32" t="s">
        <v>84</v>
      </c>
      <c r="D12" s="8"/>
      <c r="E12" s="32">
        <f>IF('Input &amp; Output'!C29="Intet krav",200,'Input &amp; Output'!C29)</f>
        <v>400</v>
      </c>
      <c r="F12" s="33" t="s">
        <v>5</v>
      </c>
      <c r="G12" s="32"/>
      <c r="H12" s="33"/>
      <c r="J12" s="8"/>
      <c r="K12" s="8"/>
      <c r="L12" s="8"/>
    </row>
    <row r="13" spans="1:19" ht="18.75">
      <c r="A13" s="32" t="s">
        <v>85</v>
      </c>
      <c r="B13" s="33"/>
      <c r="C13" s="32" t="s">
        <v>7</v>
      </c>
      <c r="D13" s="8"/>
      <c r="E13" s="32">
        <f>IF('Input &amp; Output'!C33="Intet krav",0.3,'Input &amp; Output'!C33)</f>
        <v>0.3</v>
      </c>
      <c r="F13" s="33" t="s">
        <v>58</v>
      </c>
      <c r="G13" s="32"/>
      <c r="H13" s="33"/>
      <c r="J13" s="8"/>
      <c r="K13" s="8"/>
      <c r="L13" s="8"/>
      <c r="S13" s="95"/>
    </row>
    <row r="14" spans="1:12" ht="15">
      <c r="A14" s="32" t="s">
        <v>73</v>
      </c>
      <c r="B14" s="33"/>
      <c r="C14" s="32"/>
      <c r="D14" s="8"/>
      <c r="E14" s="88" t="str">
        <f>IF('Input &amp; Output'!C34="Intet krav","Intet krav",'Input &amp; Output'!C34)</f>
        <v>Intet krav</v>
      </c>
      <c r="F14" s="33" t="s">
        <v>44</v>
      </c>
      <c r="G14" s="32"/>
      <c r="H14" s="33"/>
      <c r="J14" s="8"/>
      <c r="K14" s="8"/>
      <c r="L14" s="8"/>
    </row>
    <row r="15" spans="1:12" ht="15">
      <c r="A15" s="32" t="s">
        <v>41</v>
      </c>
      <c r="B15" s="33"/>
      <c r="C15" s="32" t="s">
        <v>42</v>
      </c>
      <c r="D15" s="8"/>
      <c r="E15" s="89">
        <f>2.1*10^5</f>
        <v>210000</v>
      </c>
      <c r="F15" s="33" t="s">
        <v>45</v>
      </c>
      <c r="G15" s="32"/>
      <c r="H15" s="33"/>
      <c r="J15" s="8"/>
      <c r="K15" s="8"/>
      <c r="L15" s="8"/>
    </row>
    <row r="16" spans="1:12" ht="15">
      <c r="A16" s="32" t="s">
        <v>128</v>
      </c>
      <c r="B16" s="33"/>
      <c r="C16" s="32"/>
      <c r="D16" s="8"/>
      <c r="E16" s="99" t="str">
        <f>'Input &amp; Output'!C31</f>
        <v>Middel (2)</v>
      </c>
      <c r="F16" s="33" t="s">
        <v>44</v>
      </c>
      <c r="G16" s="32"/>
      <c r="H16" s="33"/>
      <c r="J16" s="8"/>
      <c r="K16" s="8"/>
      <c r="L16" s="8"/>
    </row>
    <row r="17" spans="1:12" ht="16.5">
      <c r="A17" s="32" t="s">
        <v>43</v>
      </c>
      <c r="B17" s="33"/>
      <c r="C17" s="8" t="s">
        <v>174</v>
      </c>
      <c r="D17" s="8"/>
      <c r="E17" s="166">
        <f>IF(E16="Lav (1)",0.9,IF(E16="Middel (2)",1,IF(E16="Høj (3)",1.1)))</f>
        <v>1</v>
      </c>
      <c r="F17" s="33"/>
      <c r="G17" s="32" t="s">
        <v>165</v>
      </c>
      <c r="H17" s="33"/>
      <c r="J17" s="8"/>
      <c r="K17" s="8"/>
      <c r="L17" s="8"/>
    </row>
    <row r="18" spans="1:12" ht="15">
      <c r="A18" s="32" t="s">
        <v>170</v>
      </c>
      <c r="B18" s="33"/>
      <c r="C18" s="32"/>
      <c r="D18" s="8"/>
      <c r="E18" s="99" t="str">
        <f>'Input &amp; Output'!C32</f>
        <v>Normal</v>
      </c>
      <c r="F18" s="33"/>
      <c r="G18" s="32"/>
      <c r="H18" s="33"/>
      <c r="J18" s="8"/>
      <c r="K18" s="8"/>
      <c r="L18" s="8"/>
    </row>
    <row r="19" spans="1:12" ht="16.5">
      <c r="A19" s="32" t="s">
        <v>43</v>
      </c>
      <c r="B19" s="33"/>
      <c r="C19" s="32" t="s">
        <v>132</v>
      </c>
      <c r="D19" s="8"/>
      <c r="E19" s="167">
        <f>IF(E18="Skærpet",0.95,IF(E18="Normal",1,IF(E18="Lempet",1.1)))</f>
        <v>1</v>
      </c>
      <c r="F19" s="33" t="s">
        <v>44</v>
      </c>
      <c r="G19" s="32" t="s">
        <v>175</v>
      </c>
      <c r="H19" s="33"/>
      <c r="J19" s="8"/>
      <c r="K19" s="8"/>
      <c r="L19" s="8"/>
    </row>
    <row r="20" spans="1:30" ht="16.5">
      <c r="A20" s="32" t="s">
        <v>43</v>
      </c>
      <c r="B20" s="33"/>
      <c r="C20" s="32" t="s">
        <v>160</v>
      </c>
      <c r="D20" s="8"/>
      <c r="E20" s="90">
        <f>1.1*E19</f>
        <v>1.1</v>
      </c>
      <c r="F20" s="33" t="s">
        <v>44</v>
      </c>
      <c r="G20" s="32" t="s">
        <v>159</v>
      </c>
      <c r="H20" s="33"/>
      <c r="J20" s="8"/>
      <c r="K20" s="8"/>
      <c r="L20" s="8"/>
      <c r="S20" s="105"/>
      <c r="T20" s="8"/>
      <c r="U20" s="8"/>
      <c r="V20" s="8"/>
      <c r="W20" s="105"/>
      <c r="X20" s="105"/>
      <c r="Y20" s="105"/>
      <c r="Z20" s="105"/>
      <c r="AA20" s="105"/>
      <c r="AB20" s="105"/>
      <c r="AC20" s="105"/>
      <c r="AD20" s="105"/>
    </row>
    <row r="21" spans="1:30" ht="16.5">
      <c r="A21" s="32" t="s">
        <v>43</v>
      </c>
      <c r="B21" s="33"/>
      <c r="C21" s="32" t="s">
        <v>177</v>
      </c>
      <c r="D21" s="8"/>
      <c r="E21" s="90">
        <f>1.35*E19</f>
        <v>1.35</v>
      </c>
      <c r="F21" s="33"/>
      <c r="G21" s="32" t="s">
        <v>161</v>
      </c>
      <c r="H21" s="33"/>
      <c r="J21" s="8"/>
      <c r="K21" s="8"/>
      <c r="L21" s="8"/>
      <c r="S21" s="105"/>
      <c r="T21" s="8"/>
      <c r="U21" s="8"/>
      <c r="V21" s="8"/>
      <c r="W21" s="105"/>
      <c r="X21" s="105"/>
      <c r="Y21" s="105"/>
      <c r="Z21" s="105"/>
      <c r="AA21" s="105"/>
      <c r="AB21" s="105"/>
      <c r="AC21" s="105"/>
      <c r="AD21" s="105"/>
    </row>
    <row r="22" spans="1:30" ht="18">
      <c r="A22" s="32" t="s">
        <v>47</v>
      </c>
      <c r="B22" s="33"/>
      <c r="C22" s="32" t="s">
        <v>48</v>
      </c>
      <c r="D22" s="8"/>
      <c r="E22" s="91">
        <v>7850</v>
      </c>
      <c r="F22" s="33" t="s">
        <v>49</v>
      </c>
      <c r="G22" s="32"/>
      <c r="H22" s="33"/>
      <c r="J22" s="8"/>
      <c r="K22" s="8"/>
      <c r="L22" s="8"/>
      <c r="S22" s="8"/>
      <c r="T22" s="8"/>
      <c r="U22" s="8"/>
      <c r="V22" s="8"/>
      <c r="W22" s="105"/>
      <c r="X22" s="105"/>
      <c r="Y22" s="105"/>
      <c r="Z22" s="105"/>
      <c r="AA22" s="105"/>
      <c r="AB22" s="105"/>
      <c r="AC22" s="105"/>
      <c r="AD22" s="105"/>
    </row>
    <row r="23" spans="1:30" ht="15">
      <c r="A23" s="32" t="s">
        <v>203</v>
      </c>
      <c r="B23" s="33"/>
      <c r="C23" s="32"/>
      <c r="D23" s="8"/>
      <c r="E23" s="134" t="str">
        <f>'Input &amp; Output'!C30</f>
        <v>Ja</v>
      </c>
      <c r="F23" s="33"/>
      <c r="G23" s="32"/>
      <c r="H23" s="33"/>
      <c r="J23" s="8"/>
      <c r="K23" s="8"/>
      <c r="L23" s="8"/>
      <c r="S23" s="8"/>
      <c r="T23" s="8"/>
      <c r="U23" s="8"/>
      <c r="V23" s="8"/>
      <c r="W23" s="105"/>
      <c r="X23" s="105"/>
      <c r="Y23" s="105"/>
      <c r="Z23" s="105"/>
      <c r="AA23" s="105"/>
      <c r="AB23" s="105"/>
      <c r="AC23" s="105"/>
      <c r="AD23" s="105"/>
    </row>
    <row r="24" spans="1:30" ht="15">
      <c r="A24" s="32" t="s">
        <v>141</v>
      </c>
      <c r="B24" s="33"/>
      <c r="C24" s="32" t="s">
        <v>178</v>
      </c>
      <c r="D24" s="8"/>
      <c r="E24" s="91">
        <f>'Input &amp; Output'!C28</f>
        <v>5</v>
      </c>
      <c r="F24" s="33" t="s">
        <v>142</v>
      </c>
      <c r="G24" s="32"/>
      <c r="H24" s="33"/>
      <c r="J24" s="8"/>
      <c r="K24" s="8"/>
      <c r="L24" s="8"/>
      <c r="S24" s="8"/>
      <c r="T24" s="8"/>
      <c r="U24" s="8"/>
      <c r="V24" s="8"/>
      <c r="W24" s="105"/>
      <c r="X24" s="105"/>
      <c r="Y24" s="105"/>
      <c r="Z24" s="105"/>
      <c r="AA24" s="105"/>
      <c r="AB24" s="105"/>
      <c r="AC24" s="105"/>
      <c r="AD24" s="105"/>
    </row>
    <row r="25" spans="1:30" ht="15">
      <c r="A25" s="32" t="s">
        <v>216</v>
      </c>
      <c r="B25" s="33"/>
      <c r="C25" s="32"/>
      <c r="D25" s="8"/>
      <c r="E25" s="144" t="str">
        <f>IF('Input &amp; Output'!C24="Ingen sneophobning",0,'Input &amp; Output'!C24)</f>
        <v>Bolig</v>
      </c>
      <c r="F25" s="33"/>
      <c r="G25" s="32"/>
      <c r="H25" s="33"/>
      <c r="J25" s="8"/>
      <c r="K25" s="8"/>
      <c r="L25" s="8"/>
      <c r="S25" s="12"/>
      <c r="T25" s="12"/>
      <c r="U25" s="66"/>
      <c r="V25" s="52"/>
      <c r="W25" s="105"/>
      <c r="X25" s="12"/>
      <c r="Y25" s="66"/>
      <c r="Z25" s="66"/>
      <c r="AA25" s="66"/>
      <c r="AB25" s="52"/>
      <c r="AC25" s="52"/>
      <c r="AD25" s="105"/>
    </row>
    <row r="26" spans="1:30" ht="18">
      <c r="A26" s="32" t="s">
        <v>215</v>
      </c>
      <c r="B26" s="33"/>
      <c r="C26" s="32" t="s">
        <v>227</v>
      </c>
      <c r="D26" s="8"/>
      <c r="E26" s="90">
        <f>Laster!E13</f>
        <v>1.5</v>
      </c>
      <c r="F26" s="33" t="s">
        <v>6</v>
      </c>
      <c r="G26" s="32"/>
      <c r="H26" s="33"/>
      <c r="J26" s="8"/>
      <c r="K26" s="8"/>
      <c r="L26" s="8"/>
      <c r="S26" s="13"/>
      <c r="T26" s="15"/>
      <c r="U26" s="13"/>
      <c r="V26" s="13"/>
      <c r="W26" s="13"/>
      <c r="X26" s="97"/>
      <c r="Y26" s="13"/>
      <c r="Z26" s="13"/>
      <c r="AA26" s="13"/>
      <c r="AB26" s="13"/>
      <c r="AC26" s="52"/>
      <c r="AD26" s="105"/>
    </row>
    <row r="27" spans="1:30" ht="16.5">
      <c r="A27" s="32" t="s">
        <v>243</v>
      </c>
      <c r="B27" s="33"/>
      <c r="C27" s="8" t="s">
        <v>263</v>
      </c>
      <c r="D27" s="8"/>
      <c r="E27" s="148">
        <f>Laster!E14</f>
        <v>0.2</v>
      </c>
      <c r="F27" s="33" t="s">
        <v>44</v>
      </c>
      <c r="G27" s="32" t="s">
        <v>244</v>
      </c>
      <c r="H27" s="33"/>
      <c r="J27" s="8"/>
      <c r="K27" s="8"/>
      <c r="L27" s="8"/>
      <c r="S27" s="13"/>
      <c r="T27" s="15"/>
      <c r="U27" s="13"/>
      <c r="V27" s="13"/>
      <c r="W27" s="13"/>
      <c r="X27" s="97"/>
      <c r="Y27" s="13"/>
      <c r="Z27" s="13"/>
      <c r="AA27" s="13"/>
      <c r="AB27" s="13"/>
      <c r="AC27" s="52"/>
      <c r="AD27" s="105"/>
    </row>
    <row r="28" spans="1:30" ht="15">
      <c r="A28" s="32" t="s">
        <v>246</v>
      </c>
      <c r="B28" s="33"/>
      <c r="C28" s="8" t="s">
        <v>247</v>
      </c>
      <c r="D28" s="8"/>
      <c r="E28" s="91">
        <f>IF('Input &amp; Output'!C27="Intet krav",20,'Input &amp; Output'!C27)</f>
        <v>20</v>
      </c>
      <c r="F28" s="33" t="s">
        <v>253</v>
      </c>
      <c r="G28" s="32"/>
      <c r="H28" s="33"/>
      <c r="J28" s="8"/>
      <c r="K28" s="8"/>
      <c r="L28" s="8"/>
      <c r="S28" s="13"/>
      <c r="T28" s="15"/>
      <c r="U28" s="13"/>
      <c r="V28" s="13"/>
      <c r="W28" s="13"/>
      <c r="X28" s="97"/>
      <c r="Y28" s="13"/>
      <c r="Z28" s="13"/>
      <c r="AA28" s="13"/>
      <c r="AB28" s="13"/>
      <c r="AC28" s="52"/>
      <c r="AD28" s="105"/>
    </row>
    <row r="29" spans="1:30" ht="18.75">
      <c r="A29" s="32" t="s">
        <v>248</v>
      </c>
      <c r="B29" s="33"/>
      <c r="C29" s="8" t="s">
        <v>249</v>
      </c>
      <c r="D29" s="8"/>
      <c r="E29" s="90">
        <f>MAX(E26*E28*10^-2,0.5)</f>
        <v>0.5</v>
      </c>
      <c r="F29" s="33" t="s">
        <v>6</v>
      </c>
      <c r="G29" s="32"/>
      <c r="H29" s="33"/>
      <c r="J29" s="8"/>
      <c r="K29" s="8"/>
      <c r="L29" s="8"/>
      <c r="S29" s="13"/>
      <c r="T29" s="15"/>
      <c r="U29" s="13"/>
      <c r="V29" s="13"/>
      <c r="W29" s="13"/>
      <c r="X29" s="97"/>
      <c r="Y29" s="13"/>
      <c r="Z29" s="13"/>
      <c r="AA29" s="13"/>
      <c r="AB29" s="13"/>
      <c r="AC29" s="52"/>
      <c r="AD29" s="105"/>
    </row>
    <row r="30" spans="1:30" ht="16.5">
      <c r="A30" s="32" t="s">
        <v>258</v>
      </c>
      <c r="B30" s="33"/>
      <c r="C30" s="8" t="s">
        <v>261</v>
      </c>
      <c r="D30" s="8"/>
      <c r="E30" s="91">
        <f>IF('Input &amp; Output'!C26="Intet krav",5,'Input &amp; Output'!C26)</f>
        <v>5</v>
      </c>
      <c r="F30" s="33" t="s">
        <v>262</v>
      </c>
      <c r="G30" s="32"/>
      <c r="H30" s="33"/>
      <c r="J30" s="8"/>
      <c r="K30" s="8"/>
      <c r="L30" s="8"/>
      <c r="S30" s="13"/>
      <c r="T30" s="15"/>
      <c r="U30" s="13"/>
      <c r="V30" s="13"/>
      <c r="W30" s="13"/>
      <c r="X30" s="97"/>
      <c r="Y30" s="13"/>
      <c r="Z30" s="13"/>
      <c r="AA30" s="13"/>
      <c r="AB30" s="13"/>
      <c r="AC30" s="52"/>
      <c r="AD30" s="105"/>
    </row>
    <row r="31" spans="1:30" ht="15">
      <c r="A31" s="32" t="s">
        <v>252</v>
      </c>
      <c r="B31" s="33"/>
      <c r="C31" s="8" t="s">
        <v>257</v>
      </c>
      <c r="D31" s="8"/>
      <c r="E31" s="90">
        <v>9.87</v>
      </c>
      <c r="F31" s="33" t="s">
        <v>44</v>
      </c>
      <c r="G31" s="32"/>
      <c r="H31" s="33"/>
      <c r="J31" s="8"/>
      <c r="K31" s="8"/>
      <c r="L31" s="8"/>
      <c r="S31" s="13"/>
      <c r="T31" s="15"/>
      <c r="U31" s="13"/>
      <c r="V31" s="13"/>
      <c r="W31" s="13"/>
      <c r="X31" s="97"/>
      <c r="Y31" s="13"/>
      <c r="Z31" s="13"/>
      <c r="AA31" s="13"/>
      <c r="AB31" s="13"/>
      <c r="AC31" s="52"/>
      <c r="AD31" s="105"/>
    </row>
    <row r="32" spans="1:30" ht="18.75">
      <c r="A32" s="32" t="s">
        <v>121</v>
      </c>
      <c r="B32" s="33"/>
      <c r="C32" s="8" t="s">
        <v>198</v>
      </c>
      <c r="D32" s="8"/>
      <c r="E32" s="90">
        <f>IF(Laster!C6=1,Laster!E8,IF(Laster!C6=2,Laster!E8-0.1-2*0.04,IF(Laster!C6=3,Laster!E8,IF(Laster!C6=4,0))))</f>
        <v>0.19080000000000003</v>
      </c>
      <c r="F32" s="33" t="s">
        <v>6</v>
      </c>
      <c r="G32" s="32" t="s">
        <v>176</v>
      </c>
      <c r="H32" s="33"/>
      <c r="J32" s="8"/>
      <c r="K32" s="8"/>
      <c r="L32" s="8"/>
      <c r="N32" s="95"/>
      <c r="O32" s="95"/>
      <c r="P32" s="95"/>
      <c r="Q32" s="95"/>
      <c r="R32" s="95"/>
      <c r="S32" s="13"/>
      <c r="T32" s="15"/>
      <c r="U32" s="13"/>
      <c r="V32" s="13"/>
      <c r="W32" s="13"/>
      <c r="X32" s="97"/>
      <c r="Y32" s="54"/>
      <c r="Z32" s="54"/>
      <c r="AA32" s="54"/>
      <c r="AB32" s="54"/>
      <c r="AC32" s="52"/>
      <c r="AD32" s="105"/>
    </row>
    <row r="33" spans="1:30" ht="18.75">
      <c r="A33" s="32" t="s">
        <v>228</v>
      </c>
      <c r="B33" s="33"/>
      <c r="C33" s="8" t="s">
        <v>229</v>
      </c>
      <c r="D33" s="8"/>
      <c r="E33" s="90">
        <f>'Input &amp; Output'!C21</f>
        <v>0</v>
      </c>
      <c r="F33" s="33" t="s">
        <v>6</v>
      </c>
      <c r="G33" s="32"/>
      <c r="H33" s="33"/>
      <c r="J33" s="8"/>
      <c r="K33" s="8"/>
      <c r="L33" s="8"/>
      <c r="N33" s="95"/>
      <c r="O33" s="95"/>
      <c r="P33" s="95"/>
      <c r="Q33" s="95"/>
      <c r="R33" s="95"/>
      <c r="S33" s="13"/>
      <c r="T33" s="15"/>
      <c r="U33" s="13"/>
      <c r="V33" s="13"/>
      <c r="W33" s="13"/>
      <c r="X33" s="97"/>
      <c r="Y33" s="54"/>
      <c r="Z33" s="54"/>
      <c r="AA33" s="54"/>
      <c r="AB33" s="54"/>
      <c r="AC33" s="52"/>
      <c r="AD33" s="105"/>
    </row>
    <row r="34" spans="1:30" ht="18.75">
      <c r="A34" s="32" t="s">
        <v>194</v>
      </c>
      <c r="B34" s="33"/>
      <c r="C34" s="8" t="s">
        <v>199</v>
      </c>
      <c r="D34" s="8"/>
      <c r="E34" s="90">
        <f>'Input &amp; Output'!C22</f>
        <v>0</v>
      </c>
      <c r="F34" s="33" t="s">
        <v>6</v>
      </c>
      <c r="G34" s="32"/>
      <c r="H34" s="33"/>
      <c r="J34" s="8"/>
      <c r="K34" s="8"/>
      <c r="L34" s="8"/>
      <c r="N34" s="95"/>
      <c r="O34" s="95"/>
      <c r="P34" s="95"/>
      <c r="Q34" s="95"/>
      <c r="R34" s="95"/>
      <c r="S34" s="13"/>
      <c r="T34" s="15"/>
      <c r="U34" s="13"/>
      <c r="V34" s="13"/>
      <c r="W34" s="13"/>
      <c r="X34" s="97"/>
      <c r="Y34" s="54"/>
      <c r="Z34" s="54"/>
      <c r="AA34" s="54"/>
      <c r="AB34" s="54"/>
      <c r="AC34" s="52"/>
      <c r="AD34" s="105"/>
    </row>
    <row r="35" spans="1:30" ht="18.75">
      <c r="A35" s="32" t="s">
        <v>63</v>
      </c>
      <c r="B35" s="33"/>
      <c r="C35" s="32" t="s">
        <v>237</v>
      </c>
      <c r="D35" s="8"/>
      <c r="E35" s="90">
        <f>Laster!E8+E33+E34</f>
        <v>0.3708</v>
      </c>
      <c r="F35" s="33" t="s">
        <v>6</v>
      </c>
      <c r="G35" s="32"/>
      <c r="H35" s="33"/>
      <c r="J35" s="8"/>
      <c r="K35" s="8"/>
      <c r="L35" s="8"/>
      <c r="N35" s="95"/>
      <c r="O35" s="95"/>
      <c r="P35" s="95"/>
      <c r="Q35" s="95"/>
      <c r="R35" s="95"/>
      <c r="S35" s="13"/>
      <c r="T35" s="15"/>
      <c r="U35" s="13"/>
      <c r="V35" s="13"/>
      <c r="W35" s="13"/>
      <c r="X35" s="97"/>
      <c r="Y35" s="54"/>
      <c r="Z35" s="54"/>
      <c r="AA35" s="54"/>
      <c r="AB35" s="54"/>
      <c r="AC35" s="52"/>
      <c r="AD35" s="105"/>
    </row>
    <row r="36" spans="1:30" ht="18.75">
      <c r="A36" s="32" t="s">
        <v>46</v>
      </c>
      <c r="B36" s="33"/>
      <c r="C36" s="32" t="s">
        <v>140</v>
      </c>
      <c r="D36" s="8"/>
      <c r="E36" s="90">
        <f>'Input &amp; Output'!C23</f>
        <v>0.1</v>
      </c>
      <c r="F36" s="33" t="s">
        <v>6</v>
      </c>
      <c r="G36" s="32"/>
      <c r="H36" s="33"/>
      <c r="J36" s="8"/>
      <c r="K36" s="8"/>
      <c r="L36" s="8"/>
      <c r="S36" s="13"/>
      <c r="T36" s="15"/>
      <c r="U36" s="13"/>
      <c r="V36" s="13"/>
      <c r="W36" s="13"/>
      <c r="X36" s="97"/>
      <c r="Y36" s="54"/>
      <c r="Z36" s="54"/>
      <c r="AA36" s="54"/>
      <c r="AB36" s="54"/>
      <c r="AC36" s="52"/>
      <c r="AD36" s="105"/>
    </row>
    <row r="37" spans="1:30" ht="18.75">
      <c r="A37" s="32" t="s">
        <v>201</v>
      </c>
      <c r="B37" s="33"/>
      <c r="C37" s="32" t="s">
        <v>236</v>
      </c>
      <c r="D37" s="8"/>
      <c r="E37" s="90">
        <f>Laster!E6+Beregninger!E33</f>
        <v>0.1144</v>
      </c>
      <c r="F37" s="33" t="s">
        <v>6</v>
      </c>
      <c r="G37" s="32"/>
      <c r="H37" s="33"/>
      <c r="J37" s="8"/>
      <c r="K37" s="8"/>
      <c r="L37" s="8"/>
      <c r="S37" s="13"/>
      <c r="T37" s="15"/>
      <c r="U37" s="13"/>
      <c r="V37" s="13"/>
      <c r="W37" s="13"/>
      <c r="X37" s="97"/>
      <c r="Y37" s="54"/>
      <c r="Z37" s="54"/>
      <c r="AA37" s="54"/>
      <c r="AB37" s="54"/>
      <c r="AC37" s="52"/>
      <c r="AD37" s="105"/>
    </row>
    <row r="38" spans="1:12" ht="18.75">
      <c r="A38" s="32" t="s">
        <v>39</v>
      </c>
      <c r="B38" s="33"/>
      <c r="C38" s="32" t="s">
        <v>233</v>
      </c>
      <c r="D38" s="8"/>
      <c r="E38" s="90">
        <f>E26+E35+E36</f>
        <v>1.9708</v>
      </c>
      <c r="F38" s="33" t="s">
        <v>6</v>
      </c>
      <c r="G38" s="32" t="s">
        <v>230</v>
      </c>
      <c r="H38" s="33"/>
      <c r="J38" s="8"/>
      <c r="K38" s="8"/>
      <c r="L38" s="8"/>
    </row>
    <row r="39" spans="1:12" ht="18.75">
      <c r="A39" s="32" t="s">
        <v>39</v>
      </c>
      <c r="B39" s="33"/>
      <c r="C39" s="32" t="s">
        <v>233</v>
      </c>
      <c r="D39" s="8"/>
      <c r="E39" s="90">
        <f>E35+E36+E26</f>
        <v>1.9708</v>
      </c>
      <c r="F39" s="33" t="s">
        <v>6</v>
      </c>
      <c r="G39" s="32" t="s">
        <v>231</v>
      </c>
      <c r="H39" s="33"/>
      <c r="J39" s="8"/>
      <c r="K39" s="8"/>
      <c r="L39" s="8"/>
    </row>
    <row r="40" spans="1:12" ht="18.75">
      <c r="A40" s="32" t="s">
        <v>40</v>
      </c>
      <c r="B40" s="33"/>
      <c r="C40" s="32" t="s">
        <v>234</v>
      </c>
      <c r="D40" s="8"/>
      <c r="E40" s="90">
        <f>E17*(1.5*E26+E35+E36)</f>
        <v>2.7208</v>
      </c>
      <c r="F40" s="33" t="s">
        <v>6</v>
      </c>
      <c r="G40" s="32" t="s">
        <v>232</v>
      </c>
      <c r="H40" s="33"/>
      <c r="J40" s="8"/>
      <c r="K40" s="8"/>
      <c r="L40" s="8"/>
    </row>
    <row r="41" spans="1:12" ht="18.75">
      <c r="A41" s="32" t="s">
        <v>40</v>
      </c>
      <c r="B41" s="8"/>
      <c r="C41" s="32" t="s">
        <v>255</v>
      </c>
      <c r="D41" s="8"/>
      <c r="E41" s="90">
        <f>E29+E35+E36</f>
        <v>0.9708</v>
      </c>
      <c r="F41" s="33" t="s">
        <v>6</v>
      </c>
      <c r="G41" s="8" t="s">
        <v>242</v>
      </c>
      <c r="H41" s="33"/>
      <c r="J41" s="8"/>
      <c r="K41" s="8"/>
      <c r="L41" s="8"/>
    </row>
    <row r="42" spans="1:53" ht="18.75">
      <c r="A42" s="32" t="s">
        <v>40</v>
      </c>
      <c r="B42" s="8"/>
      <c r="C42" s="49" t="s">
        <v>245</v>
      </c>
      <c r="D42" s="8"/>
      <c r="E42" s="94">
        <f>E17*(E27*E26+1*E35+1*E36)</f>
        <v>0.7708</v>
      </c>
      <c r="F42" s="33" t="s">
        <v>6</v>
      </c>
      <c r="G42" s="8" t="s">
        <v>139</v>
      </c>
      <c r="H42" s="33"/>
      <c r="J42" s="8"/>
      <c r="K42" s="8"/>
      <c r="L42" s="8"/>
      <c r="AZ42" s="105"/>
      <c r="BA42" s="105"/>
    </row>
    <row r="43" spans="1:53" ht="18.75">
      <c r="A43" s="34" t="s">
        <v>40</v>
      </c>
      <c r="B43" s="35"/>
      <c r="C43" s="34" t="s">
        <v>235</v>
      </c>
      <c r="D43" s="35"/>
      <c r="E43" s="121">
        <f>E17*1.5*E26+E37</f>
        <v>2.3644</v>
      </c>
      <c r="F43" s="36" t="s">
        <v>6</v>
      </c>
      <c r="G43" s="35" t="s">
        <v>86</v>
      </c>
      <c r="H43" s="36"/>
      <c r="J43" s="8"/>
      <c r="K43" s="8"/>
      <c r="L43" s="8"/>
      <c r="AZ43" s="105"/>
      <c r="BA43" s="105"/>
    </row>
    <row r="44" spans="1:53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AZ44" s="105"/>
      <c r="BA44" s="105"/>
    </row>
    <row r="45" spans="1:53" ht="15">
      <c r="A45" s="27" t="s">
        <v>36</v>
      </c>
      <c r="B45" s="8"/>
      <c r="C45" s="8"/>
      <c r="D45" s="8"/>
      <c r="E45" s="65"/>
      <c r="F45" s="65"/>
      <c r="G45" s="8"/>
      <c r="H45" s="65"/>
      <c r="I45" s="8"/>
      <c r="J45" s="8"/>
      <c r="K45" s="8"/>
      <c r="L45" s="8"/>
      <c r="AZ45" s="105"/>
      <c r="BA45" s="105"/>
    </row>
    <row r="46" spans="1:5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T46" s="119" t="s">
        <v>135</v>
      </c>
      <c r="X46" s="28" t="s">
        <v>155</v>
      </c>
      <c r="Y46" s="118"/>
      <c r="Z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8"/>
      <c r="BA46" s="8"/>
      <c r="BB46" s="2"/>
      <c r="BC46" s="2"/>
      <c r="BD46" s="2"/>
    </row>
    <row r="47" spans="1:56" ht="15">
      <c r="A47" s="9" t="s">
        <v>10</v>
      </c>
      <c r="B47" s="7" t="s">
        <v>27</v>
      </c>
      <c r="C47" s="16" t="s">
        <v>103</v>
      </c>
      <c r="D47" s="16" t="s">
        <v>106</v>
      </c>
      <c r="E47" s="44" t="s">
        <v>106</v>
      </c>
      <c r="F47" s="16" t="s">
        <v>106</v>
      </c>
      <c r="G47" s="16" t="s">
        <v>11</v>
      </c>
      <c r="H47" s="16" t="s">
        <v>12</v>
      </c>
      <c r="I47" s="215" t="s">
        <v>169</v>
      </c>
      <c r="J47" s="195"/>
      <c r="K47" s="195"/>
      <c r="L47" s="195"/>
      <c r="M47" s="17" t="s">
        <v>14</v>
      </c>
      <c r="T47" s="2"/>
      <c r="U47" s="2"/>
      <c r="X47" s="2"/>
      <c r="Y47" s="2"/>
      <c r="Z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8"/>
      <c r="BA47" s="8"/>
      <c r="BB47" s="2"/>
      <c r="BC47" s="2"/>
      <c r="BD47" s="2"/>
    </row>
    <row r="48" spans="1:26" ht="15">
      <c r="A48" s="10" t="s">
        <v>20</v>
      </c>
      <c r="B48" s="4" t="s">
        <v>28</v>
      </c>
      <c r="C48" s="13" t="s">
        <v>104</v>
      </c>
      <c r="D48" s="13" t="s">
        <v>108</v>
      </c>
      <c r="E48" s="12" t="s">
        <v>107</v>
      </c>
      <c r="F48" s="13" t="s">
        <v>109</v>
      </c>
      <c r="G48" s="13"/>
      <c r="H48" s="13" t="s">
        <v>15</v>
      </c>
      <c r="I48" s="213" t="s">
        <v>94</v>
      </c>
      <c r="J48" s="223"/>
      <c r="K48" s="224" t="s">
        <v>91</v>
      </c>
      <c r="L48" s="198"/>
      <c r="M48" s="18" t="s">
        <v>16</v>
      </c>
      <c r="T48" s="2"/>
      <c r="U48" s="2"/>
      <c r="X48" s="6" t="s">
        <v>158</v>
      </c>
      <c r="Y48" s="16" t="s">
        <v>156</v>
      </c>
      <c r="Z48" s="17" t="s">
        <v>157</v>
      </c>
    </row>
    <row r="49" spans="1:27" ht="16.5">
      <c r="A49" s="10"/>
      <c r="B49" s="10" t="s">
        <v>33</v>
      </c>
      <c r="C49" s="13" t="s">
        <v>105</v>
      </c>
      <c r="D49" s="13" t="s">
        <v>60</v>
      </c>
      <c r="E49" s="13" t="s">
        <v>110</v>
      </c>
      <c r="F49" s="13" t="s">
        <v>34</v>
      </c>
      <c r="G49" s="13" t="s">
        <v>30</v>
      </c>
      <c r="H49" s="13" t="s">
        <v>31</v>
      </c>
      <c r="I49" s="13" t="s">
        <v>133</v>
      </c>
      <c r="J49" s="13" t="s">
        <v>134</v>
      </c>
      <c r="K49" s="13" t="s">
        <v>133</v>
      </c>
      <c r="L49" s="13" t="s">
        <v>134</v>
      </c>
      <c r="M49" s="18" t="s">
        <v>32</v>
      </c>
      <c r="T49" s="7" t="s">
        <v>11</v>
      </c>
      <c r="U49" s="44" t="s">
        <v>13</v>
      </c>
      <c r="V49" s="120" t="s">
        <v>13</v>
      </c>
      <c r="X49" s="5" t="s">
        <v>17</v>
      </c>
      <c r="Y49" s="19" t="s">
        <v>18</v>
      </c>
      <c r="Z49" s="20" t="s">
        <v>18</v>
      </c>
      <c r="AA49" s="13"/>
    </row>
    <row r="50" spans="1:27" ht="18.75">
      <c r="A50" s="11"/>
      <c r="B50" s="10" t="s">
        <v>35</v>
      </c>
      <c r="C50" s="13" t="s">
        <v>35</v>
      </c>
      <c r="D50" s="13" t="s">
        <v>61</v>
      </c>
      <c r="E50" s="13" t="s">
        <v>61</v>
      </c>
      <c r="F50" s="13" t="s">
        <v>61</v>
      </c>
      <c r="G50" s="13" t="s">
        <v>29</v>
      </c>
      <c r="H50" s="13" t="s">
        <v>18</v>
      </c>
      <c r="I50" s="13" t="s">
        <v>18</v>
      </c>
      <c r="J50" s="13" t="s">
        <v>18</v>
      </c>
      <c r="K50" s="13" t="s">
        <v>18</v>
      </c>
      <c r="L50" s="13" t="s">
        <v>18</v>
      </c>
      <c r="M50" s="18" t="s">
        <v>19</v>
      </c>
      <c r="T50" s="10" t="s">
        <v>136</v>
      </c>
      <c r="U50" s="13" t="s">
        <v>137</v>
      </c>
      <c r="V50" s="18" t="s">
        <v>138</v>
      </c>
      <c r="X50" s="3">
        <v>1.5</v>
      </c>
      <c r="Y50" s="13">
        <v>6.01</v>
      </c>
      <c r="Z50" s="22">
        <f>Y50/$E$21</f>
        <v>4.451851851851852</v>
      </c>
      <c r="AA50" s="13"/>
    </row>
    <row r="51" spans="1:27" ht="15">
      <c r="A51" s="9" t="s">
        <v>21</v>
      </c>
      <c r="B51" s="40">
        <f>2*1.5*(2*22+2*100+2*45+5*30+6*20)</f>
        <v>1812</v>
      </c>
      <c r="C51" s="41">
        <v>834.8</v>
      </c>
      <c r="D51" s="41">
        <f>0.845*10^6</f>
        <v>845000</v>
      </c>
      <c r="E51" s="41">
        <f>10.29*10^6</f>
        <v>10290000</v>
      </c>
      <c r="F51" s="41">
        <f>10.29*10^6</f>
        <v>10290000</v>
      </c>
      <c r="G51" s="42">
        <f>27.13/E20</f>
        <v>24.66363636363636</v>
      </c>
      <c r="H51" s="42">
        <f>48.83/E20</f>
        <v>44.39090909090908</v>
      </c>
      <c r="I51" s="42">
        <f>18.98/E20</f>
        <v>17.254545454545454</v>
      </c>
      <c r="J51" s="42">
        <f>40/E20</f>
        <v>36.36363636363636</v>
      </c>
      <c r="K51" s="42">
        <f>48.83/E20</f>
        <v>44.39090909090908</v>
      </c>
      <c r="L51" s="42">
        <f aca="true" t="shared" si="0" ref="L51:L56">K51</f>
        <v>44.39090909090908</v>
      </c>
      <c r="M51" s="43">
        <f aca="true" t="shared" si="1" ref="M51:M56">B51*7.85*9.82*10^-6</f>
        <v>0.139681644</v>
      </c>
      <c r="T51" s="10" t="s">
        <v>29</v>
      </c>
      <c r="U51" s="13" t="s">
        <v>18</v>
      </c>
      <c r="V51" s="18" t="s">
        <v>18</v>
      </c>
      <c r="X51" s="5">
        <v>2</v>
      </c>
      <c r="Y51" s="19">
        <v>6.24</v>
      </c>
      <c r="Z51" s="26">
        <f>Y51/$E$21</f>
        <v>4.622222222222222</v>
      </c>
      <c r="AA51" s="109"/>
    </row>
    <row r="52" spans="1:27" ht="15">
      <c r="A52" s="10" t="s">
        <v>22</v>
      </c>
      <c r="B52" s="21">
        <f>2*2*(2*22+2*100+2*45+5*30+6*20)</f>
        <v>2416</v>
      </c>
      <c r="C52" s="14">
        <v>1118</v>
      </c>
      <c r="D52" s="14">
        <f>1.12*10^6</f>
        <v>1120000</v>
      </c>
      <c r="E52" s="14">
        <f>13.64*10^6</f>
        <v>13640000</v>
      </c>
      <c r="F52" s="14">
        <f>13.64*10^6</f>
        <v>13640000</v>
      </c>
      <c r="G52" s="15">
        <f>42.13/E20</f>
        <v>38.3</v>
      </c>
      <c r="H52" s="15">
        <f>77.75/E20</f>
        <v>70.68181818181817</v>
      </c>
      <c r="I52" s="15">
        <f>33.04/E20</f>
        <v>30.03636363636363</v>
      </c>
      <c r="J52" s="15">
        <f>50/E20</f>
        <v>45.45454545454545</v>
      </c>
      <c r="K52" s="15">
        <f>77.75/E20</f>
        <v>70.68181818181817</v>
      </c>
      <c r="L52" s="15">
        <f t="shared" si="0"/>
        <v>70.68181818181817</v>
      </c>
      <c r="M52" s="22">
        <f t="shared" si="1"/>
        <v>0.18624219199999997</v>
      </c>
      <c r="T52" s="85">
        <f aca="true" t="shared" si="2" ref="T52:T57">0.4*G51*$E$20</f>
        <v>10.852</v>
      </c>
      <c r="U52" s="42">
        <f aca="true" t="shared" si="3" ref="U52:V57">0.63*I51*$E$20</f>
        <v>11.957400000000002</v>
      </c>
      <c r="V52" s="43">
        <f t="shared" si="3"/>
        <v>25.2</v>
      </c>
      <c r="Z52" s="13"/>
      <c r="AA52" s="13"/>
    </row>
    <row r="53" spans="1:27" ht="15">
      <c r="A53" s="10" t="s">
        <v>23</v>
      </c>
      <c r="B53" s="21">
        <f>2*1.5*(2*22+2*150+2*45+5*30+6*20)</f>
        <v>2112</v>
      </c>
      <c r="C53" s="14">
        <v>978.3</v>
      </c>
      <c r="D53" s="14">
        <f>2.424*10^6</f>
        <v>2424000</v>
      </c>
      <c r="E53" s="14">
        <f>26.33*10^6</f>
        <v>26330000</v>
      </c>
      <c r="F53" s="14">
        <f>25.46*10^6</f>
        <v>25460000</v>
      </c>
      <c r="G53" s="15">
        <f>42.4/E20</f>
        <v>38.54545454545454</v>
      </c>
      <c r="H53" s="15">
        <f>37.9/E20</f>
        <v>34.45454545454545</v>
      </c>
      <c r="I53" s="15">
        <f>18.98/E20</f>
        <v>17.254545454545454</v>
      </c>
      <c r="J53" s="15">
        <f>40/E20</f>
        <v>36.36363636363636</v>
      </c>
      <c r="K53" s="15">
        <f>37.9/E20</f>
        <v>34.45454545454545</v>
      </c>
      <c r="L53" s="15">
        <f t="shared" si="0"/>
        <v>34.45454545454545</v>
      </c>
      <c r="M53" s="22">
        <f t="shared" si="1"/>
        <v>0.162807744</v>
      </c>
      <c r="T53" s="86">
        <f t="shared" si="2"/>
        <v>16.852</v>
      </c>
      <c r="U53" s="15">
        <f t="shared" si="3"/>
        <v>20.815199999999997</v>
      </c>
      <c r="V53" s="22">
        <f t="shared" si="3"/>
        <v>31.500000000000004</v>
      </c>
      <c r="Z53" s="13"/>
      <c r="AA53" s="13"/>
    </row>
    <row r="54" spans="1:27" ht="15">
      <c r="A54" s="10" t="s">
        <v>24</v>
      </c>
      <c r="B54" s="21">
        <f>2*2*(2*22+2*150+2*45+5*30+6*20)</f>
        <v>2816</v>
      </c>
      <c r="C54" s="14">
        <v>1310</v>
      </c>
      <c r="D54" s="14">
        <f>3.211*10^6</f>
        <v>3211000</v>
      </c>
      <c r="E54" s="14">
        <f>35.18*10^6</f>
        <v>35180000</v>
      </c>
      <c r="F54" s="14">
        <f>34.95*10^6</f>
        <v>34950000</v>
      </c>
      <c r="G54" s="15">
        <f>66.16/E20</f>
        <v>60.145454545454534</v>
      </c>
      <c r="H54" s="15">
        <f>85.65/E20</f>
        <v>77.86363636363636</v>
      </c>
      <c r="I54" s="15">
        <f>33.04/E20</f>
        <v>30.03636363636363</v>
      </c>
      <c r="J54" s="117">
        <f>50/E20</f>
        <v>45.45454545454545</v>
      </c>
      <c r="K54" s="15">
        <f>85.65/E20</f>
        <v>77.86363636363636</v>
      </c>
      <c r="L54" s="15">
        <f t="shared" si="0"/>
        <v>77.86363636363636</v>
      </c>
      <c r="M54" s="22">
        <f t="shared" si="1"/>
        <v>0.217076992</v>
      </c>
      <c r="T54" s="86">
        <f t="shared" si="2"/>
        <v>16.96</v>
      </c>
      <c r="U54" s="15">
        <f t="shared" si="3"/>
        <v>11.957400000000002</v>
      </c>
      <c r="V54" s="22">
        <f t="shared" si="3"/>
        <v>25.2</v>
      </c>
      <c r="Z54" s="13"/>
      <c r="AA54" s="13"/>
    </row>
    <row r="55" spans="1:22" ht="15">
      <c r="A55" s="10" t="s">
        <v>25</v>
      </c>
      <c r="B55" s="21">
        <f>2*1.5*(2*22+2*175+2*45+5*30+6*20)</f>
        <v>2262</v>
      </c>
      <c r="C55" s="14">
        <v>1050</v>
      </c>
      <c r="D55" s="14">
        <f>3.605*10^6</f>
        <v>3605000</v>
      </c>
      <c r="E55" s="14">
        <f>37.77*10^6</f>
        <v>37770000</v>
      </c>
      <c r="F55" s="14">
        <f>35.84*10^6</f>
        <v>35840000</v>
      </c>
      <c r="G55" s="15">
        <f>50.12/E20</f>
        <v>45.563636363636355</v>
      </c>
      <c r="H55" s="15">
        <f>31.88/E20</f>
        <v>28.981818181818177</v>
      </c>
      <c r="I55" s="15">
        <f>18.98/E20</f>
        <v>17.254545454545454</v>
      </c>
      <c r="J55" s="117">
        <f>40/E20</f>
        <v>36.36363636363636</v>
      </c>
      <c r="K55" s="15">
        <f>31.88/E20</f>
        <v>28.981818181818177</v>
      </c>
      <c r="L55" s="15">
        <f t="shared" si="0"/>
        <v>28.981818181818177</v>
      </c>
      <c r="M55" s="22">
        <f t="shared" si="1"/>
        <v>0.17437079400000002</v>
      </c>
      <c r="T55" s="86">
        <f t="shared" si="2"/>
        <v>26.464</v>
      </c>
      <c r="U55" s="15">
        <f t="shared" si="3"/>
        <v>20.815199999999997</v>
      </c>
      <c r="V55" s="22">
        <f t="shared" si="3"/>
        <v>31.500000000000004</v>
      </c>
    </row>
    <row r="56" spans="1:22" ht="15">
      <c r="A56" s="11" t="s">
        <v>26</v>
      </c>
      <c r="B56" s="23">
        <f>2*2*(2*22+2*175+2*45+5*30+6*20)</f>
        <v>3016</v>
      </c>
      <c r="C56" s="24">
        <v>1407</v>
      </c>
      <c r="D56" s="24">
        <f>4.801*10^6</f>
        <v>4801000</v>
      </c>
      <c r="E56" s="24">
        <f>50.5*10^6</f>
        <v>50500000</v>
      </c>
      <c r="F56" s="24">
        <f>48.97*10^6</f>
        <v>48970000</v>
      </c>
      <c r="G56" s="25">
        <f>78.29/E20</f>
        <v>71.17272727272727</v>
      </c>
      <c r="H56" s="25">
        <f>72.2/E20</f>
        <v>65.63636363636364</v>
      </c>
      <c r="I56" s="25">
        <f>33.04/E20</f>
        <v>30.03636363636363</v>
      </c>
      <c r="J56" s="25">
        <f>50/E20</f>
        <v>45.45454545454545</v>
      </c>
      <c r="K56" s="25">
        <f>72.2/E20</f>
        <v>65.63636363636364</v>
      </c>
      <c r="L56" s="25">
        <f t="shared" si="0"/>
        <v>65.63636363636364</v>
      </c>
      <c r="M56" s="26">
        <f t="shared" si="1"/>
        <v>0.232494392</v>
      </c>
      <c r="T56" s="86">
        <f>0.4*G55*$E$20</f>
        <v>20.048</v>
      </c>
      <c r="U56" s="15">
        <f t="shared" si="3"/>
        <v>11.957400000000002</v>
      </c>
      <c r="V56" s="22">
        <f t="shared" si="3"/>
        <v>25.2</v>
      </c>
    </row>
    <row r="57" spans="1:2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T57" s="87">
        <f t="shared" si="2"/>
        <v>31.316000000000003</v>
      </c>
      <c r="U57" s="25">
        <f t="shared" si="3"/>
        <v>20.815199999999997</v>
      </c>
      <c r="V57" s="26">
        <f t="shared" si="3"/>
        <v>31.500000000000004</v>
      </c>
    </row>
    <row r="58" spans="1:12" ht="15">
      <c r="A58" s="28" t="s">
        <v>279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24" ht="15">
      <c r="A60" s="6" t="s">
        <v>10</v>
      </c>
      <c r="B60" s="9"/>
      <c r="C60" s="16"/>
      <c r="D60" s="215" t="s">
        <v>276</v>
      </c>
      <c r="E60" s="195"/>
      <c r="F60" s="195"/>
      <c r="G60" s="195"/>
      <c r="H60" s="195"/>
      <c r="I60" s="195"/>
      <c r="J60" s="215" t="s">
        <v>277</v>
      </c>
      <c r="K60" s="195"/>
      <c r="L60" s="195"/>
      <c r="M60" s="16" t="s">
        <v>278</v>
      </c>
      <c r="N60" s="17" t="s">
        <v>50</v>
      </c>
      <c r="O60" s="165"/>
      <c r="P60" s="111" t="s">
        <v>270</v>
      </c>
      <c r="R60" s="13"/>
      <c r="T60" s="84" t="s">
        <v>99</v>
      </c>
      <c r="U60" s="2"/>
      <c r="V60" s="2"/>
      <c r="W60" s="2"/>
      <c r="X60" s="2"/>
    </row>
    <row r="61" spans="1:62" ht="15">
      <c r="A61" s="3" t="s">
        <v>20</v>
      </c>
      <c r="B61" s="10" t="s">
        <v>85</v>
      </c>
      <c r="C61" s="13" t="s">
        <v>73</v>
      </c>
      <c r="D61" s="13" t="s">
        <v>37</v>
      </c>
      <c r="E61" s="13" t="s">
        <v>239</v>
      </c>
      <c r="F61" s="13" t="s">
        <v>240</v>
      </c>
      <c r="G61" s="13" t="s">
        <v>202</v>
      </c>
      <c r="H61" s="12" t="s">
        <v>269</v>
      </c>
      <c r="I61" s="12" t="s">
        <v>86</v>
      </c>
      <c r="J61" s="13" t="s">
        <v>37</v>
      </c>
      <c r="K61" s="13" t="s">
        <v>239</v>
      </c>
      <c r="L61" s="13" t="s">
        <v>239</v>
      </c>
      <c r="M61" s="13" t="s">
        <v>145</v>
      </c>
      <c r="N61" s="18" t="s">
        <v>51</v>
      </c>
      <c r="P61" s="2"/>
      <c r="R61" s="13"/>
      <c r="AC61" s="58" t="s">
        <v>94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8"/>
      <c r="BA61" s="8"/>
      <c r="BB61" s="2"/>
      <c r="BC61" s="2"/>
      <c r="BD61" s="8"/>
      <c r="BE61" s="105"/>
      <c r="BF61" s="105"/>
      <c r="BG61" s="105"/>
      <c r="BH61" s="105"/>
      <c r="BI61" s="105"/>
      <c r="BJ61" s="105"/>
    </row>
    <row r="62" spans="1:62" ht="18">
      <c r="A62" s="5"/>
      <c r="B62" s="32"/>
      <c r="C62" s="13"/>
      <c r="D62" s="13"/>
      <c r="E62" s="13" t="s">
        <v>238</v>
      </c>
      <c r="F62" s="13" t="s">
        <v>241</v>
      </c>
      <c r="G62" s="13"/>
      <c r="H62" s="105"/>
      <c r="I62" s="12"/>
      <c r="J62" s="13"/>
      <c r="K62" s="13" t="s">
        <v>267</v>
      </c>
      <c r="L62" s="13" t="s">
        <v>268</v>
      </c>
      <c r="M62" s="13" t="s">
        <v>97</v>
      </c>
      <c r="N62" s="18" t="s">
        <v>52</v>
      </c>
      <c r="P62" s="2"/>
      <c r="R62" s="13"/>
      <c r="T62" s="29"/>
      <c r="U62" s="9" t="s">
        <v>92</v>
      </c>
      <c r="V62" s="6" t="s">
        <v>93</v>
      </c>
      <c r="W62" s="6" t="s">
        <v>95</v>
      </c>
      <c r="X62" s="13"/>
      <c r="Y62" s="105"/>
      <c r="Z62" s="13"/>
      <c r="AA62" s="13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8"/>
      <c r="BA62" s="8"/>
      <c r="BB62" s="2"/>
      <c r="BC62" s="2"/>
      <c r="BD62" s="8"/>
      <c r="BE62" s="105"/>
      <c r="BF62" s="105"/>
      <c r="BG62" s="105"/>
      <c r="BH62" s="105"/>
      <c r="BI62" s="105"/>
      <c r="BJ62" s="105"/>
    </row>
    <row r="63" spans="1:62" ht="15">
      <c r="A63" s="3" t="s">
        <v>21</v>
      </c>
      <c r="B63" s="9" t="str">
        <f>IF($E$13&gt;=0.25,"OK","-")</f>
        <v>OK</v>
      </c>
      <c r="C63" s="16" t="str">
        <f>IF('Input &amp; Output'!$C$19="Ja","OK",IF($E$14="Intet krav","OK",IF($E$4&gt;18,"-",IF($E$14="BD60","-",IF($E$14="BS60","-",IF('Input &amp; Output'!$H$34="","OK","-"))))))</f>
        <v>OK</v>
      </c>
      <c r="D63" s="42">
        <f aca="true" t="shared" si="4" ref="D63:D68">IF($E$10="Simpelt understøttet",ROUNDDOWN((8*G51/($E$4^2)-M51)/($E$40),2),IF($E$10="Mellemunderstøttet",MAX(ROUNDDOWN(($E$40)/(8*G51*(($E$4+$E$6)/($E$4^3+$E$6^3))-M51),2),ROUNDDOWN(($E$40)/((($E$4^2)/8+(1/(128*($E$4^2)))*(($E$4^3+$E$6^3)/($E$4+$E$6))^2-(1/16)*(($E$4^3+$E$6^3)/($E$4+$E$6)))-M51),2)),"-"))</f>
        <v>1.08</v>
      </c>
      <c r="E63" s="16">
        <f aca="true" t="shared" si="5" ref="E63:E68">IF($E$10="Simpelt understøttet",ROUNDDOWN(((2*I51)/$E$4-M51)/($E$40),2),IF($E$10="Mellemunderstøttet",ROUNDDOWN((I51/(0.5*$E$4-(1/(8*$E$4))*(($E$4^3+$E$6^3)/($E$4+$E$6)))-M51)/($E$40),2),"-"))</f>
        <v>1.53</v>
      </c>
      <c r="F63" s="42">
        <f aca="true" t="shared" si="6" ref="F63:F68">IF($E$10="Simpelt understøttet",10,IF($E$10="Mellemunderstøttet",ROUNDDOWN((J51/(0.5*($E$4+$E$6)+(1/8)*(($E$4^3+$E$6^3)/(($E$4+$E$6))*(1/$E$4+1/$E$6)))-M51)/($E$40),2),"-"))</f>
        <v>10</v>
      </c>
      <c r="G63" s="136">
        <f aca="true" t="shared" si="7" ref="G63:G68">IF($E$10="Simpelt understøttet",IF($E$23="Ja",ROUNDDOWN((384*$E$15*F51)/($E$38*5*$E$12*($E$4*10^3)^3),2),ROUNDDOWN((384*$E$15*F51)/($E$39*5*$E$12*($E$4*10^3)^3),2)),IF($E$10="Mellemunderstøttet",IF($E$23="Ja",ROUNDDOWN(($E$15*F51)/(($E$38+($E$35-$E$32))*$E$12*($E$4*10^3)*(0.01287*($E$4*10^3)^2-0.0598*(1/8)*((($E$4*10^3)^3+($E$6*10^3)^3)/($E$4*10^3+$E$6*10^3)))),2),ROUNDDOWN((($E$15*F51)/($E$39*$E$12*($E$4*10^3)*(0.01287*($E$4*10^3)^2-0.0598*(1/8)*((($E$4*10^3)^3+($E$6*10^3)^3)/($E$4*10^3+$E$6*10^3))))-M51),2))))</f>
        <v>0.41</v>
      </c>
      <c r="H63" s="16">
        <f aca="true" t="shared" si="8" ref="H63:H68">IF(ROUNDDOWN(((($E$15*F51*10^-8/(($E$30*2*PI()*(($E$4^2)/$E$31))^2))-M51))/$E$41,2)&gt;0,ROUNDDOWN(((($E$15*F51*10^-8/(($E$30*2*PI()*(($E$4^2)/$E$31))^2))-M51))/$E$41,2),0)</f>
        <v>0.39</v>
      </c>
      <c r="I63" s="42">
        <f>IF('Input &amp; Output'!$C$17="Andet",10,IF($E$8=0.65,$U$65,IF($E$8=0.7,$V$65,IF($E$8=0.75,$W$65))))</f>
        <v>1.4</v>
      </c>
      <c r="J63" s="42">
        <f>IF($E$14="Intet krav",10,IF('Input &amp; Output'!$C$19="Ja",10,IF($E$14="BS60",IF($E$10="Simpelt understøttet",ROUNDDOWN(((8*T52/($E$4^2)-M51))/($E$42),2),IF($E$10="Mellemunderstøttet",MAX(ROUNDDOWN(((8*T52*(($E$4+$E$6)/($E$4^3+$E$6^3))-M51))/($E$42),2),ROUNDDOWN((((($E$4^2)/8+(1/(128*($E$4^2)))*(($E$4^3+$E$6^3)/($E$4+$E$6))^2-(1/16)*(($E$4^3+$E$6^3)/($E$4+$E$6)))-M51))/($E$42),2)))),IF($E$26&gt;2.25,IF($E$10="Simpelt understøttet",ROUNDDOWN(((8*T52/($E$4^2)-M51))/($E$42),2),IF($E$10="Mellemunderstøttet",MAX(ROUNDDOWN(((8*T52*(($E$4+$E$6)/($E$4^3+$E$6^3))-M51))/($E$42),2),ROUNDDOWN((((($E$4^2)/8+(1/(128*($E$4^2)))*(($E$4^3+$E$6^3)/($E$4+$E$6))^2-(1/16)*(($E$4^3+$E$6^3)/($E$4+$E$6)))-M51))/($E$42),2)))),10))))</f>
        <v>10</v>
      </c>
      <c r="K63" s="42" t="str">
        <f>IF($E$14="Intet krav","10",IF('Input &amp; Output'!$C$19="Ja",10,IF($E$14="BS60",IF($E$10="Simpelt understøttet",ROUNDDOWN((((2*U52)/$E$4-M51))/($E$42),2),IF($E$10="Mellemunderstøttet",ROUNDDOWN(((U52/(0.5*$E$4-(1/(8*$E$4))*(($E$4^3+$E$6^3)/($E$4+$E$6)))-M51))/($E$42),2))),IF($E$26&gt;2.25,IF($E$10="Simpelt understøttet",ROUNDDOWN((((2*U52)/$E$4-M51))/($E$42),2),IF($E$10="Mellemunderstøttet",ROUNDDOWN(((U52/(0.5*$E$4-(1/(8*$E$4))*(($E$4^3+$E$6^3)/($E$4+$E$6)))-M51))/($E$42),2))),10))))</f>
        <v>10</v>
      </c>
      <c r="L63" s="42">
        <f>IF($E$14="Intet krav",10,IF('Input &amp; Output'!$C$19="Ja",10,IF($E$14="BS60",IF($E$10="Simpelt understøttet",10,IF($E$10="Mellemunderstøttet",ROUNDDOWN(((V52/(0.5*($E$4+$E$6)+(1/8)*(($E$4^3+$E$6^3)/(($E$4+$E$6)^2)))-M51))/($E$42),2))),IF($E$26&gt;2.25,IF($E$10="Simpelt understøttet",10,IF($E$10="Mellemunderstøttet",ROUNDDOWN(((V52/(0.5*($E$4+$E$6)+(1/8)*(($E$4^3+$E$6^3)/(($E$4+$E$6)^2)))-M51))/($E$42),2))),10))))</f>
        <v>10</v>
      </c>
      <c r="M63" s="42">
        <f aca="true" t="shared" si="9" ref="M63:M68">IF(B63="-","-",IF(C63="-","-",IF(I63="-","-",MIN(D63:L63))))</f>
        <v>0.39</v>
      </c>
      <c r="N63" s="77">
        <f aca="true" t="shared" si="10" ref="N63:N68">IF(M63="-","-",IF(M63&gt;=$E$7,B51*10^-6*$E$22/M63,"-"))</f>
        <v>36.47230769230769</v>
      </c>
      <c r="P63" s="111" t="str">
        <f aca="true" t="shared" si="11" ref="P63:P68">IF(D63=M63,$D$61,IF(MIN(E63:F63)=M63,$E$61,IF(G63=M63,$G$61,IF(H63=M63,$H$61,IF(I63=M63,$I$61)))))</f>
        <v>Krav til frekvens</v>
      </c>
      <c r="R63" s="38"/>
      <c r="T63" s="10" t="s">
        <v>282</v>
      </c>
      <c r="U63" s="10" t="s">
        <v>96</v>
      </c>
      <c r="V63" s="3" t="s">
        <v>96</v>
      </c>
      <c r="W63" s="3" t="s">
        <v>96</v>
      </c>
      <c r="X63" s="13"/>
      <c r="Y63" s="105"/>
      <c r="Z63" s="13"/>
      <c r="AA63" s="13"/>
      <c r="AC63" s="28" t="s">
        <v>280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8"/>
      <c r="BA63" s="8"/>
      <c r="BB63" s="2"/>
      <c r="BC63" s="2"/>
      <c r="BD63" s="8"/>
      <c r="BE63" s="105"/>
      <c r="BF63" s="105"/>
      <c r="BG63" s="105"/>
      <c r="BH63" s="105"/>
      <c r="BI63" s="105"/>
      <c r="BJ63" s="105"/>
    </row>
    <row r="64" spans="1:62" ht="18">
      <c r="A64" s="3" t="s">
        <v>22</v>
      </c>
      <c r="B64" s="10" t="str">
        <f>IF($E$13&gt;=0.25,"OK","-")</f>
        <v>OK</v>
      </c>
      <c r="C64" s="13" t="str">
        <f>IF('Input &amp; Output'!$C$19="Ja","OK",IF($E$14="Intet krav","OK",IF($E$4&gt;18,"-",IF($E$14="BD60","-",IF($E$14="BS60","-",IF('Input &amp; Output'!$H$34="","OK","-"))))))</f>
        <v>OK</v>
      </c>
      <c r="D64" s="15">
        <f t="shared" si="4"/>
        <v>1.69</v>
      </c>
      <c r="E64" s="13">
        <f t="shared" si="5"/>
        <v>2.69</v>
      </c>
      <c r="F64" s="15">
        <f t="shared" si="6"/>
        <v>10</v>
      </c>
      <c r="G64" s="117">
        <f t="shared" si="7"/>
        <v>0.54</v>
      </c>
      <c r="H64" s="13">
        <f t="shared" si="8"/>
        <v>0.51</v>
      </c>
      <c r="I64" s="15">
        <f>IF('Input &amp; Output'!$C$17="Andet",10,IF($E$8=0.65,$U$65,IF($E$8=0.7,$V$65,IF($E$8=0.75,$W$65))))</f>
        <v>1.4</v>
      </c>
      <c r="J64" s="15">
        <f>IF($E$14="Intet krav",10,IF('Input &amp; Output'!$C$19="Ja",10,IF($E$14="BS60",IF($E$10="Simpelt understøttet",ROUNDDOWN(((8*T53/($E$4^2)-M52))/($E$42),2),IF($E$10="Mellemunderstøttet",MAX(ROUNDDOWN(((8*T53*(($E$4+$E$6)/($E$4^3+$E$6^3))-M52))/($E$42),2),ROUNDDOWN((((($E$4^2)/8+(1/(128*($E$4^2)))*(($E$4^3+$E$6^3)/($E$4+$E$6))^2-(1/16)*(($E$4^3+$E$6^3)/($E$4+$E$6)))-M52))/($E$42),2)))),IF($E$26&gt;2.25,IF($E$10="Simpelt understøttet",ROUNDDOWN(((8*T53/($E$4^2)-M52))/($E$42),2),IF($E$10="Mellemunderstøttet",MAX(ROUNDDOWN(((8*T53*(($E$4+$E$6)/($E$4^3+$E$6^3))-M52))/($E$42),2),ROUNDDOWN((((($E$4^2)/8+(1/(128*($E$4^2)))*(($E$4^3+$E$6^3)/($E$4+$E$6))^2-(1/16)*(($E$4^3+$E$6^3)/($E$4+$E$6)))-M52))/($E$42),2)))),10))))</f>
        <v>10</v>
      </c>
      <c r="K64" s="15" t="str">
        <f>IF($E$14="Intet krav","10",IF('Input &amp; Output'!$C$19="Ja",10,IF($E$14="BS60",IF($E$10="Simpelt understøttet",ROUNDDOWN((((2*U53)/$E$4-M52))/($E$42),2),IF($E$10="Mellemunderstøttet",ROUNDDOWN(((U53/(0.5*$E$4-(1/(8*$E$4))*(($E$4^3+$E$6^3)/($E$4+$E$6)))-M52))/($E$42),2))),IF($E$26&gt;2.25,IF($E$10="Simpelt understøttet",ROUNDDOWN((((2*U53)/$E$4-M52))/($E$42),2),IF($E$10="Mellemunderstøttet",ROUNDDOWN(((U53/(0.5*$E$4-(1/(8*$E$4))*(($E$4^3+$E$6^3)/($E$4+$E$6)))-M52))/($E$42),2))),10))))</f>
        <v>10</v>
      </c>
      <c r="L64" s="15">
        <f>IF($E$14="Intet krav",10,IF('Input &amp; Output'!$C$19="Ja",10,IF($E$14="BS60",IF($E$10="Simpelt understøttet",10,IF($E$10="Mellemunderstøttet",ROUNDDOWN(((V53/(0.5*($E$4+$E$6)+(1/8)*(($E$4^3+$E$6^3)/(($E$4+$E$6)^2)))-M52))/($E$42),2))),IF($E$26&gt;2.25,IF($E$10="Simpelt understøttet",10,IF($E$10="Mellemunderstøttet",ROUNDDOWN(((V53/(0.5*($E$4+$E$6)+(1/8)*(($E$4^3+$E$6^3)/(($E$4+$E$6)^2)))-M52))/($E$42),2))),10))))</f>
        <v>10</v>
      </c>
      <c r="M64" s="15">
        <f t="shared" si="9"/>
        <v>0.51</v>
      </c>
      <c r="N64" s="68">
        <f t="shared" si="10"/>
        <v>37.18745098039215</v>
      </c>
      <c r="P64" s="111" t="str">
        <f t="shared" si="11"/>
        <v>Krav til frekvens</v>
      </c>
      <c r="R64" s="38"/>
      <c r="T64" s="140" t="s">
        <v>97</v>
      </c>
      <c r="U64" s="102" t="s">
        <v>98</v>
      </c>
      <c r="V64" s="178" t="s">
        <v>98</v>
      </c>
      <c r="W64" s="178" t="s">
        <v>98</v>
      </c>
      <c r="X64" s="109"/>
      <c r="Y64" s="105"/>
      <c r="Z64" s="109"/>
      <c r="AA64" s="109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8"/>
      <c r="BA64" s="8"/>
      <c r="BB64" s="2"/>
      <c r="BC64" s="2"/>
      <c r="BD64" s="8"/>
      <c r="BE64" s="105"/>
      <c r="BF64" s="105"/>
      <c r="BG64" s="105"/>
      <c r="BH64" s="105"/>
      <c r="BI64" s="105"/>
      <c r="BJ64" s="105"/>
    </row>
    <row r="65" spans="1:62" ht="15">
      <c r="A65" s="3" t="s">
        <v>23</v>
      </c>
      <c r="B65" s="10" t="str">
        <f>IF($E$13&gt;=0.2,"OK","-")</f>
        <v>OK</v>
      </c>
      <c r="C65" s="13" t="str">
        <f>IF('Input &amp; Output'!$C$19="Ja","OK",IF($E$14="Intet krav","OK",IF($E$4&gt;18,"-",IF('Input &amp; Output'!$H$34="","OK","-"))))</f>
        <v>OK</v>
      </c>
      <c r="D65" s="15">
        <f t="shared" si="4"/>
        <v>1.71</v>
      </c>
      <c r="E65" s="13">
        <f t="shared" si="5"/>
        <v>1.52</v>
      </c>
      <c r="F65" s="15">
        <f t="shared" si="6"/>
        <v>10</v>
      </c>
      <c r="G65" s="117">
        <f t="shared" si="7"/>
        <v>1.01</v>
      </c>
      <c r="H65" s="13">
        <f t="shared" si="8"/>
        <v>1.15</v>
      </c>
      <c r="I65" s="15">
        <f>IF('Input &amp; Output'!$C$17="Andet",10,IF($E$8=0.65,$U$65,IF($E$8=0.7,$V$65,IF($E$8=0.75,$W$65))))</f>
        <v>1.4</v>
      </c>
      <c r="J65" s="15">
        <f>IF($E$14="Intet krav",10,IF('Input &amp; Output'!$C$19="Ja",10,IF($E$14="BS60",IF($E$10="Simpelt understøttet",ROUNDDOWN(((8*T54/($E$4^2)-M53))/($E$42),2),IF($E$10="Mellemunderstøttet",MAX(ROUNDDOWN(((8*T54*(($E$4+$E$6)/($E$4^3+$E$6^3))-M53))/($E$42),2),ROUNDDOWN((((($E$4^2)/8+(1/(128*($E$4^2)))*(($E$4^3+$E$6^3)/($E$4+$E$6))^2-(1/16)*(($E$4^3+$E$6^3)/($E$4+$E$6)))-M53))/($E$42),2)))),IF($E$26&gt;2.25,IF($E$10="Simpelt understøttet",ROUNDDOWN(((8*T54/($E$4^2)-M53))/($E$42),2),IF($E$10="Mellemunderstøttet",MAX(ROUNDDOWN(((8*T54*(($E$4+$E$6)/($E$4^3+$E$6^3))-M53))/($E$42),2),ROUNDDOWN((((($E$4^2)/8+(1/(128*($E$4^2)))*(($E$4^3+$E$6^3)/($E$4+$E$6))^2-(1/16)*(($E$4^3+$E$6^3)/($E$4+$E$6)))-M53))/($E$42),2)))),10))))</f>
        <v>10</v>
      </c>
      <c r="K65" s="15" t="str">
        <f>IF($E$14="Intet krav","10",IF('Input &amp; Output'!$C$19="Ja",10,IF($E$14="BS60",IF($E$10="Simpelt understøttet",ROUNDDOWN((((2*U54)/$E$4-M53))/($E$42),2),IF($E$10="Mellemunderstøttet",ROUNDDOWN(((U54/(0.5*$E$4-(1/(8*$E$4))*(($E$4^3+$E$6^3)/($E$4+$E$6)))-M53))/($E$42),2))),IF($E$26&gt;2.25,IF($E$10="Simpelt understøttet",ROUNDDOWN((((2*U54)/$E$4-M53))/($E$42),2),IF($E$10="Mellemunderstøttet",ROUNDDOWN(((U54/(0.5*$E$4-(1/(8*$E$4))*(($E$4^3+$E$6^3)/($E$4+$E$6)))-M53))/($E$42),2))),10))))</f>
        <v>10</v>
      </c>
      <c r="L65" s="15">
        <f>IF($E$14="Intet krav",10,IF('Input &amp; Output'!$C$19="Ja",10,IF($E$14="BS60",IF($E$10="Simpelt understøttet",10,IF($E$10="Mellemunderstøttet",ROUNDDOWN(((V54/(0.5*($E$4+$E$6)+(1/8)*(($E$4^3+$E$6^3)/(($E$4+$E$6)^2)))-M53))/($E$42),2))),IF($E$26&gt;2.25,IF($E$10="Simpelt understøttet",10,IF($E$10="Mellemunderstøttet",ROUNDDOWN(((V54/(0.5*($E$4+$E$6)+(1/8)*(($E$4^3+$E$6^3)/(($E$4+$E$6)^2)))-M53))/($E$42),2))),10))))</f>
        <v>10</v>
      </c>
      <c r="M65" s="15">
        <f t="shared" si="9"/>
        <v>1.01</v>
      </c>
      <c r="N65" s="68">
        <f t="shared" si="10"/>
        <v>16.415049504950492</v>
      </c>
      <c r="P65" s="111" t="str">
        <f t="shared" si="11"/>
        <v>Deformation</v>
      </c>
      <c r="R65" s="38"/>
      <c r="T65" s="59">
        <v>3</v>
      </c>
      <c r="U65" s="107">
        <f>LOOKUP(E43/$E$9,AD66:AZ66,AD65:AZ65)-0.05</f>
        <v>1.4</v>
      </c>
      <c r="V65" s="185">
        <f>LOOKUP(E43/$E$9,AD67:AZ67,AD65:AZ65)-0.05</f>
        <v>1.45</v>
      </c>
      <c r="W65" s="185">
        <f>LOOKUP(E43/$E$9,AD68:AZ68,AD65:AZ65)-0.05</f>
        <v>1.5</v>
      </c>
      <c r="X65" s="15"/>
      <c r="Y65" s="105"/>
      <c r="Z65" s="15"/>
      <c r="AA65" s="15"/>
      <c r="AC65" s="173" t="s">
        <v>281</v>
      </c>
      <c r="AD65" s="182">
        <v>3</v>
      </c>
      <c r="AE65" s="106">
        <v>1.8</v>
      </c>
      <c r="AF65" s="106">
        <v>1.75</v>
      </c>
      <c r="AG65" s="106">
        <v>1.7</v>
      </c>
      <c r="AH65" s="106">
        <v>1.65</v>
      </c>
      <c r="AI65" s="106">
        <v>1.6</v>
      </c>
      <c r="AJ65" s="106">
        <v>1.55</v>
      </c>
      <c r="AK65" s="106">
        <v>1.5</v>
      </c>
      <c r="AL65" s="106">
        <v>1.45</v>
      </c>
      <c r="AM65" s="106">
        <v>1.4</v>
      </c>
      <c r="AN65" s="106">
        <v>1.35</v>
      </c>
      <c r="AO65" s="106">
        <v>1.3</v>
      </c>
      <c r="AP65" s="106">
        <v>1.25</v>
      </c>
      <c r="AQ65" s="106">
        <v>1.2</v>
      </c>
      <c r="AR65" s="106">
        <v>1.15</v>
      </c>
      <c r="AS65" s="106">
        <v>1.1</v>
      </c>
      <c r="AT65" s="106">
        <v>1.05</v>
      </c>
      <c r="AU65" s="106">
        <v>1</v>
      </c>
      <c r="AV65" s="106">
        <v>0.95</v>
      </c>
      <c r="AW65" s="106">
        <v>0.9</v>
      </c>
      <c r="AX65" s="106">
        <v>0.85</v>
      </c>
      <c r="AY65" s="106">
        <v>0.8</v>
      </c>
      <c r="AZ65" s="183">
        <v>0</v>
      </c>
      <c r="BD65" s="8"/>
      <c r="BE65" s="105"/>
      <c r="BF65" s="105"/>
      <c r="BG65" s="105"/>
      <c r="BH65" s="105"/>
      <c r="BI65" s="105"/>
      <c r="BJ65" s="105"/>
    </row>
    <row r="66" spans="1:62" ht="15">
      <c r="A66" s="3" t="s">
        <v>24</v>
      </c>
      <c r="B66" s="10" t="str">
        <f>IF($E$13&gt;=0.2,"OK","-")</f>
        <v>OK</v>
      </c>
      <c r="C66" s="13" t="str">
        <f>IF('Input &amp; Output'!$C$19="Ja","OK",IF($E$14="Intet krav","OK",IF($E$4&gt;18,"-",IF('Input &amp; Output'!$H$34="","OK","-"))))</f>
        <v>OK</v>
      </c>
      <c r="D66" s="15">
        <f t="shared" si="4"/>
        <v>2.68</v>
      </c>
      <c r="E66" s="13">
        <f t="shared" si="5"/>
        <v>2.68</v>
      </c>
      <c r="F66" s="15">
        <f t="shared" si="6"/>
        <v>10</v>
      </c>
      <c r="G66" s="117">
        <f t="shared" si="7"/>
        <v>1.39</v>
      </c>
      <c r="H66" s="13">
        <f t="shared" si="8"/>
        <v>1.59</v>
      </c>
      <c r="I66" s="15">
        <f>IF('Input &amp; Output'!$C$17="Andet",10,IF($E$8=0.65,$U$65,IF($E$8=0.7,$V$65,IF($E$8=0.75,$W$65))))</f>
        <v>1.4</v>
      </c>
      <c r="J66" s="15">
        <f>IF($E$14="Intet krav",10,IF('Input &amp; Output'!$C$19="Ja",10,IF($E$14="BS60",IF($E$10="Simpelt understøttet",ROUNDDOWN(((8*T55/($E$4^2)-M54))/($E$42),2),IF($E$10="Mellemunderstøttet",MAX(ROUNDDOWN(((8*T55*(($E$4+$E$6)/($E$4^3+$E$6^3))-M54))/($E$42),2),ROUNDDOWN((((($E$4^2)/8+(1/(128*($E$4^2)))*(($E$4^3+$E$6^3)/($E$4+$E$6))^2-(1/16)*(($E$4^3+$E$6^3)/($E$4+$E$6)))-M54))/($E$42),2)))),IF($E$26&gt;2.25,IF($E$10="Simpelt understøttet",ROUNDDOWN(((8*T55/($E$4^2)-M54))/($E$42),2),IF($E$10="Mellemunderstøttet",MAX(ROUNDDOWN(((8*T55*(($E$4+$E$6)/($E$4^3+$E$6^3))-M54))/($E$42),2),ROUNDDOWN((((($E$4^2)/8+(1/(128*($E$4^2)))*(($E$4^3+$E$6^3)/($E$4+$E$6))^2-(1/16)*(($E$4^3+$E$6^3)/($E$4+$E$6)))-M54))/($E$42),2)))),10))))</f>
        <v>10</v>
      </c>
      <c r="K66" s="15" t="str">
        <f>IF($E$14="Intet krav","10",IF('Input &amp; Output'!$C$19="Ja",10,IF($E$14="BS60",IF($E$10="Simpelt understøttet",ROUNDDOWN((((2*U55)/$E$4-M54))/($E$42),2),IF($E$10="Mellemunderstøttet",ROUNDDOWN(((U55/(0.5*$E$4-(1/(8*$E$4))*(($E$4^3+$E$6^3)/($E$4+$E$6)))-M54))/($E$42),2))),IF($E$26&gt;2.25,IF($E$10="Simpelt understøttet",ROUNDDOWN((((2*U55)/$E$4-M54))/($E$42),2),IF($E$10="Mellemunderstøttet",ROUNDDOWN(((U55/(0.5*$E$4-(1/(8*$E$4))*(($E$4^3+$E$6^3)/($E$4+$E$6)))-M54))/($E$42),2))),10))))</f>
        <v>10</v>
      </c>
      <c r="L66" s="15">
        <f>IF($E$14="Intet krav",10,IF('Input &amp; Output'!$C$19="Ja",10,IF($E$14="BS60",IF($E$10="Simpelt understøttet",10,IF($E$10="Mellemunderstøttet",ROUNDDOWN(((V55/(0.5*($E$4+$E$6)+(1/8)*(($E$4^3+$E$6^3)/(($E$4+$E$6)^2)))-M54))/($E$42),2))),IF($E$26&gt;2.25,IF($E$10="Simpelt understøttet",10,IF($E$10="Mellemunderstøttet",ROUNDDOWN(((V55/(0.5*($E$4+$E$6)+(1/8)*(($E$4^3+$E$6^3)/(($E$4+$E$6)^2)))-M54))/($E$42),2))),10))))</f>
        <v>10</v>
      </c>
      <c r="M66" s="15">
        <f t="shared" si="9"/>
        <v>1.39</v>
      </c>
      <c r="N66" s="68">
        <f t="shared" si="10"/>
        <v>15.903309352517986</v>
      </c>
      <c r="P66" s="111" t="str">
        <f t="shared" si="11"/>
        <v>Deformation</v>
      </c>
      <c r="R66" s="38"/>
      <c r="T66" s="13"/>
      <c r="U66" s="15"/>
      <c r="V66" s="15"/>
      <c r="W66" s="15"/>
      <c r="X66" s="15"/>
      <c r="Y66" s="15"/>
      <c r="Z66" s="105"/>
      <c r="AA66" s="15"/>
      <c r="AC66" s="56">
        <v>0.65</v>
      </c>
      <c r="AD66" s="136">
        <v>0</v>
      </c>
      <c r="AE66" s="42">
        <v>0.9</v>
      </c>
      <c r="AF66" s="42">
        <v>1.01</v>
      </c>
      <c r="AG66" s="42">
        <v>1.12</v>
      </c>
      <c r="AH66" s="42">
        <v>1.25</v>
      </c>
      <c r="AI66" s="42">
        <v>1.4</v>
      </c>
      <c r="AJ66" s="42">
        <v>1.61</v>
      </c>
      <c r="AK66" s="42">
        <v>1.83</v>
      </c>
      <c r="AL66" s="42">
        <v>2.09</v>
      </c>
      <c r="AM66" s="42">
        <v>2.37</v>
      </c>
      <c r="AN66" s="42">
        <v>2.7</v>
      </c>
      <c r="AO66" s="42">
        <v>3.06</v>
      </c>
      <c r="AP66" s="42">
        <v>3.48</v>
      </c>
      <c r="AQ66" s="42">
        <v>3.96</v>
      </c>
      <c r="AR66" s="42">
        <v>4.5</v>
      </c>
      <c r="AS66" s="42">
        <v>5.13</v>
      </c>
      <c r="AT66" s="42">
        <v>5.86</v>
      </c>
      <c r="AU66" s="42">
        <v>6.71</v>
      </c>
      <c r="AV66" s="42">
        <v>7.71</v>
      </c>
      <c r="AW66" s="42">
        <v>8.89</v>
      </c>
      <c r="AX66" s="42">
        <v>10</v>
      </c>
      <c r="AY66" s="42">
        <v>10</v>
      </c>
      <c r="AZ66" s="43">
        <v>10</v>
      </c>
      <c r="BD66" s="8"/>
      <c r="BE66" s="105"/>
      <c r="BF66" s="105"/>
      <c r="BG66" s="105"/>
      <c r="BH66" s="105"/>
      <c r="BI66" s="105"/>
      <c r="BJ66" s="105"/>
    </row>
    <row r="67" spans="1:62" ht="15">
      <c r="A67" s="3" t="s">
        <v>25</v>
      </c>
      <c r="B67" s="10" t="str">
        <f>IF($E$13&gt;=0,"OK","-")</f>
        <v>OK</v>
      </c>
      <c r="C67" s="13" t="str">
        <f>IF('Input &amp; Output'!$C$19="Ja","OK",IF($E$14="Intet krav","OK",IF($E$4&gt;18,"-",IF('Input &amp; Output'!$H$34="","OK","-"))))</f>
        <v>OK</v>
      </c>
      <c r="D67" s="15">
        <f t="shared" si="4"/>
        <v>2.02</v>
      </c>
      <c r="E67" s="13">
        <f t="shared" si="5"/>
        <v>1.52</v>
      </c>
      <c r="F67" s="15">
        <f t="shared" si="6"/>
        <v>10</v>
      </c>
      <c r="G67" s="117">
        <f t="shared" si="7"/>
        <v>1.43</v>
      </c>
      <c r="H67" s="13">
        <f t="shared" si="8"/>
        <v>1.68</v>
      </c>
      <c r="I67" s="15">
        <f>IF('Input &amp; Output'!$C$17="Andet",10,IF($E$8=0.65,$U$65,IF($E$8=0.7,$V$65,IF($E$8=0.75,$W$65))))</f>
        <v>1.4</v>
      </c>
      <c r="J67" s="15">
        <f>IF($E$14="Intet krav",10,IF('Input &amp; Output'!$C$19="Ja",10,IF($E$14="BS60",IF($E$10="Simpelt understøttet",ROUNDDOWN(((8*T56/($E$4^2)-M55))/($E$42),2),IF($E$10="Mellemunderstøttet",MAX(ROUNDDOWN(((8*T56*(($E$4+$E$6)/($E$4^3+$E$6^3))-M55))/($E$42),2),ROUNDDOWN((((($E$4^2)/8+(1/(128*($E$4^2)))*(($E$4^3+$E$6^3)/($E$4+$E$6))^2-(1/16)*(($E$4^3+$E$6^3)/($E$4+$E$6)))-M55))/($E$42),2)))),IF($E$26&gt;2.25,IF($E$10="Simpelt understøttet",ROUNDDOWN(((8*T56/($E$4^2)-M55))/($E$42),2),IF($E$10="Mellemunderstøttet",MAX(ROUNDDOWN(((8*T56*(($E$4+$E$6)/($E$4^3+$E$6^3))-M55))/($E$42),2),ROUNDDOWN((((($E$4^2)/8+(1/(128*($E$4^2)))*(($E$4^3+$E$6^3)/($E$4+$E$6))^2-(1/16)*(($E$4^3+$E$6^3)/($E$4+$E$6)))-M55))/($E$42),2)))),10))))</f>
        <v>10</v>
      </c>
      <c r="K67" s="15" t="str">
        <f>IF($E$14="Intet krav","10",IF('Input &amp; Output'!$C$19="Ja",10,IF($E$14="BS60",IF($E$10="Simpelt understøttet",ROUNDDOWN((((2*U56)/$E$4-M55))/($E$42),2),IF($E$10="Mellemunderstøttet",ROUNDDOWN(((U56/(0.5*$E$4-(1/(8*$E$4))*(($E$4^3+$E$6^3)/($E$4+$E$6)))-M55))/($E$42),2))),IF($E$26&gt;2.25,IF($E$10="Simpelt understøttet",ROUNDDOWN((((2*U56)/$E$4-M55))/($E$42),2),IF($E$10="Mellemunderstøttet",ROUNDDOWN(((U56/(0.5*$E$4-(1/(8*$E$4))*(($E$4^3+$E$6^3)/($E$4+$E$6)))-M55))/($E$42),2))),10))))</f>
        <v>10</v>
      </c>
      <c r="L67" s="15">
        <f>IF($E$14="Intet krav",10,IF('Input &amp; Output'!$C$19="Ja",10,IF($E$14="BS60",IF($E$10="Simpelt understøttet",10,IF($E$10="Mellemunderstøttet",ROUNDDOWN(((V56/(0.5*($E$4+$E$6)+(1/8)*(($E$4^3+$E$6^3)/(($E$4+$E$6)^2)))-M55))/($E$42),2))),IF($E$26&gt;2.25,IF($E$10="Simpelt understøttet",10,IF($E$10="Mellemunderstøttet",ROUNDDOWN(((V56/(0.5*($E$4+$E$6)+(1/8)*(($E$4^3+$E$6^3)/(($E$4+$E$6)^2)))-M55))/($E$42),2))),10))))</f>
        <v>10</v>
      </c>
      <c r="M67" s="15">
        <f t="shared" si="9"/>
        <v>1.4</v>
      </c>
      <c r="N67" s="68">
        <f t="shared" si="10"/>
        <v>12.683357142857142</v>
      </c>
      <c r="P67" s="111" t="str">
        <f t="shared" si="11"/>
        <v>Trapezplade</v>
      </c>
      <c r="R67" s="38"/>
      <c r="S67" s="39"/>
      <c r="T67" s="13"/>
      <c r="U67" s="15"/>
      <c r="V67" s="15"/>
      <c r="W67" s="15"/>
      <c r="X67" s="15"/>
      <c r="Y67" s="15"/>
      <c r="Z67" s="105"/>
      <c r="AA67" s="15"/>
      <c r="AC67" s="184">
        <v>0.7</v>
      </c>
      <c r="AD67" s="117">
        <v>0</v>
      </c>
      <c r="AE67" s="15">
        <v>1.13</v>
      </c>
      <c r="AF67" s="15">
        <v>1.24</v>
      </c>
      <c r="AG67" s="15">
        <v>1.37</v>
      </c>
      <c r="AH67" s="15">
        <v>1.51</v>
      </c>
      <c r="AI67" s="15">
        <v>1.72</v>
      </c>
      <c r="AJ67" s="15">
        <v>1.95</v>
      </c>
      <c r="AK67" s="15">
        <v>2.2</v>
      </c>
      <c r="AL67" s="15">
        <v>2.49</v>
      </c>
      <c r="AM67" s="15">
        <v>2.82</v>
      </c>
      <c r="AN67" s="15">
        <v>3.18</v>
      </c>
      <c r="AO67" s="15">
        <v>3.6</v>
      </c>
      <c r="AP67" s="15">
        <v>4.07</v>
      </c>
      <c r="AQ67" s="15">
        <v>4.61</v>
      </c>
      <c r="AR67" s="15">
        <v>5.23</v>
      </c>
      <c r="AS67" s="15">
        <v>5.94</v>
      </c>
      <c r="AT67" s="15">
        <v>6.76</v>
      </c>
      <c r="AU67" s="15">
        <v>7.72</v>
      </c>
      <c r="AV67" s="15">
        <v>8.85</v>
      </c>
      <c r="AW67" s="15">
        <v>10</v>
      </c>
      <c r="AX67" s="15">
        <v>10</v>
      </c>
      <c r="AY67" s="15">
        <v>10</v>
      </c>
      <c r="AZ67" s="22">
        <v>10</v>
      </c>
      <c r="BA67" s="8"/>
      <c r="BB67" s="8"/>
      <c r="BC67" s="8"/>
      <c r="BD67" s="8"/>
      <c r="BE67" s="105"/>
      <c r="BF67" s="105"/>
      <c r="BG67" s="105"/>
      <c r="BH67" s="105"/>
      <c r="BI67" s="105"/>
      <c r="BJ67" s="105"/>
    </row>
    <row r="68" spans="1:62" ht="15">
      <c r="A68" s="5" t="s">
        <v>26</v>
      </c>
      <c r="B68" s="11" t="str">
        <f>IF($E$13&gt;=0,"OK","-")</f>
        <v>OK</v>
      </c>
      <c r="C68" s="19" t="str">
        <f>IF('Input &amp; Output'!$C$19="Ja","OK",IF($E$14="Intet krav","OK",IF($E$4&gt;18,"-",IF('Input &amp; Output'!$H$34="","OK","-"))))</f>
        <v>OK</v>
      </c>
      <c r="D68" s="25">
        <f t="shared" si="4"/>
        <v>3.18</v>
      </c>
      <c r="E68" s="19">
        <f t="shared" si="5"/>
        <v>2.67</v>
      </c>
      <c r="F68" s="25">
        <f t="shared" si="6"/>
        <v>10</v>
      </c>
      <c r="G68" s="142">
        <f t="shared" si="7"/>
        <v>1.95</v>
      </c>
      <c r="H68" s="19">
        <f t="shared" si="8"/>
        <v>2.31</v>
      </c>
      <c r="I68" s="25">
        <f>IF('Input &amp; Output'!$C$17="Andet",10,IF($E$8=0.65,$U$65,IF($E$8=0.7,$V$65,IF($E$8=0.75,$W$65))))</f>
        <v>1.4</v>
      </c>
      <c r="J68" s="25">
        <f>IF($E$14="Intet krav",10,IF('Input &amp; Output'!$C$19="Ja",10,IF($E$14="BS60",IF($E$10="Simpelt understøttet",ROUNDDOWN(((8*T57/($E$4^2)-M56))/($E$42),2),IF($E$10="Mellemunderstøttet",MAX(ROUNDDOWN(((8*T57*(($E$4+$E$6)/($E$4^3+$E$6^3))-M56))/($E$42),2),ROUNDDOWN((((($E$4^2)/8+(1/(128*($E$4^2)))*(($E$4^3+$E$6^3)/($E$4+$E$6))^2-(1/16)*(($E$4^3+$E$6^3)/($E$4+$E$6)))-M56))/($E$42),2)))),IF($E$26&gt;2.25,IF($E$10="Simpelt understøttet",ROUNDDOWN(((8*T57/($E$4^2)-M56))/($E$42),2),IF($E$10="Mellemunderstøttet",MAX(ROUNDDOWN(((8*T57*(($E$4+$E$6)/($E$4^3+$E$6^3))-M56))/($E$42),2),ROUNDDOWN((((($E$4^2)/8+(1/(128*($E$4^2)))*(($E$4^3+$E$6^3)/($E$4+$E$6))^2-(1/16)*(($E$4^3+$E$6^3)/($E$4+$E$6)))-M56))/($E$42),2)))),10))))</f>
        <v>10</v>
      </c>
      <c r="K68" s="25" t="str">
        <f>IF($E$14="Intet krav","10",IF('Input &amp; Output'!$C$19="Ja",10,IF($E$14="BS60",IF($E$10="Simpelt understøttet",ROUNDDOWN((((2*U57)/$E$4-M56))/($E$42),2),IF($E$10="Mellemunderstøttet",ROUNDDOWN(((U57/(0.5*$E$4-(1/(8*$E$4))*(($E$4^3+$E$6^3)/($E$4+$E$6)))-M56))/($E$42),2))),IF($E$26&gt;2.25,IF($E$10="Simpelt understøttet",ROUNDDOWN((((2*U57)/$E$4-M56))/($E$42),2),IF($E$10="Mellemunderstøttet",ROUNDDOWN(((U57/(0.5*$E$4-(1/(8*$E$4))*(($E$4^3+$E$6^3)/($E$4+$E$6)))-M56))/($E$42),2))),10))))</f>
        <v>10</v>
      </c>
      <c r="L68" s="25">
        <f>IF($E$14="Intet krav",10,IF('Input &amp; Output'!$C$19="Ja",10,IF($E$14="BS60",IF($E$10="Simpelt understøttet",10,IF($E$10="Mellemunderstøttet",ROUNDDOWN(((V57/(0.5*($E$4+$E$6)+(1/8)*(($E$4^3+$E$6^3)/(($E$4+$E$6)^2)))-M56))/($E$42),2))),IF($E$26&gt;2.25,IF($E$10="Simpelt understøttet",10,IF($E$10="Mellemunderstøttet",ROUNDDOWN(((V57/(0.5*($E$4+$E$6)+(1/8)*(($E$4^3+$E$6^3)/(($E$4+$E$6)^2)))-M56))/($E$42),2))),10))))</f>
        <v>10</v>
      </c>
      <c r="M68" s="25">
        <f t="shared" si="9"/>
        <v>1.4</v>
      </c>
      <c r="N68" s="60">
        <f t="shared" si="10"/>
        <v>16.911142857142856</v>
      </c>
      <c r="P68" s="111" t="str">
        <f t="shared" si="11"/>
        <v>Trapezplade</v>
      </c>
      <c r="R68" s="38"/>
      <c r="T68" s="105"/>
      <c r="U68" s="105"/>
      <c r="V68" s="105"/>
      <c r="W68" s="105"/>
      <c r="X68" s="105"/>
      <c r="Y68" s="105"/>
      <c r="Z68" s="105"/>
      <c r="AA68" s="105"/>
      <c r="AC68" s="57">
        <v>0.75</v>
      </c>
      <c r="AD68" s="142">
        <v>0</v>
      </c>
      <c r="AE68" s="25">
        <v>1.35</v>
      </c>
      <c r="AF68" s="25">
        <v>1.48</v>
      </c>
      <c r="AG68" s="25">
        <v>1.61</v>
      </c>
      <c r="AH68" s="25">
        <v>1.81</v>
      </c>
      <c r="AI68" s="25">
        <v>2.04</v>
      </c>
      <c r="AJ68" s="25">
        <v>2.3</v>
      </c>
      <c r="AK68" s="25">
        <v>2.58</v>
      </c>
      <c r="AL68" s="25">
        <v>2.91</v>
      </c>
      <c r="AM68" s="25">
        <v>3.27</v>
      </c>
      <c r="AN68" s="25">
        <v>3.68</v>
      </c>
      <c r="AO68" s="25">
        <v>4.15</v>
      </c>
      <c r="AP68" s="25">
        <v>4.68</v>
      </c>
      <c r="AQ68" s="25">
        <v>5.28</v>
      </c>
      <c r="AR68" s="25">
        <v>5.97</v>
      </c>
      <c r="AS68" s="25">
        <v>6.76</v>
      </c>
      <c r="AT68" s="25">
        <v>7.68</v>
      </c>
      <c r="AU68" s="25">
        <v>8.76</v>
      </c>
      <c r="AV68" s="25">
        <v>10</v>
      </c>
      <c r="AW68" s="25">
        <v>10</v>
      </c>
      <c r="AX68" s="25">
        <v>10</v>
      </c>
      <c r="AY68" s="25">
        <v>10</v>
      </c>
      <c r="AZ68" s="26">
        <v>10</v>
      </c>
      <c r="BA68" s="8"/>
      <c r="BB68" s="8"/>
      <c r="BC68" s="8"/>
      <c r="BD68" s="8"/>
      <c r="BE68" s="105"/>
      <c r="BF68" s="105"/>
      <c r="BG68" s="105"/>
      <c r="BH68" s="105"/>
      <c r="BI68" s="105"/>
      <c r="BJ68" s="105"/>
    </row>
    <row r="69" spans="1:6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T69" s="8"/>
      <c r="U69" s="13"/>
      <c r="V69" s="13"/>
      <c r="W69" s="13"/>
      <c r="X69" s="13"/>
      <c r="Y69" s="13"/>
      <c r="Z69" s="105"/>
      <c r="AA69" s="13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105"/>
      <c r="BF69" s="105"/>
      <c r="BG69" s="105"/>
      <c r="BH69" s="105"/>
      <c r="BI69" s="105"/>
      <c r="BJ69" s="105"/>
    </row>
    <row r="70" spans="1:62" ht="15">
      <c r="A70" s="28" t="s">
        <v>207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T70" s="13"/>
      <c r="U70" s="13"/>
      <c r="V70" s="13"/>
      <c r="W70" s="13"/>
      <c r="X70" s="13"/>
      <c r="Y70" s="13"/>
      <c r="Z70" s="105"/>
      <c r="AA70" s="13"/>
      <c r="AC70" s="27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105"/>
      <c r="BF70" s="105"/>
      <c r="BG70" s="105"/>
      <c r="BH70" s="105"/>
      <c r="BI70" s="105"/>
      <c r="BJ70" s="105"/>
    </row>
    <row r="71" spans="1:6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T71" s="12"/>
      <c r="U71" s="12"/>
      <c r="V71" s="109"/>
      <c r="W71" s="109"/>
      <c r="X71" s="109"/>
      <c r="Y71" s="109"/>
      <c r="Z71" s="105"/>
      <c r="AA71" s="109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105"/>
      <c r="BF71" s="105"/>
      <c r="BG71" s="105"/>
      <c r="BH71" s="105"/>
      <c r="BI71" s="105"/>
      <c r="BJ71" s="105"/>
    </row>
    <row r="72" spans="1:62" ht="15">
      <c r="A72" s="6" t="s">
        <v>10</v>
      </c>
      <c r="B72" s="9" t="s">
        <v>64</v>
      </c>
      <c r="C72" s="16" t="s">
        <v>53</v>
      </c>
      <c r="D72" s="16" t="s">
        <v>212</v>
      </c>
      <c r="E72" s="44" t="s">
        <v>69</v>
      </c>
      <c r="F72" s="44" t="s">
        <v>152</v>
      </c>
      <c r="G72" s="44" t="s">
        <v>144</v>
      </c>
      <c r="H72" s="44" t="s">
        <v>204</v>
      </c>
      <c r="I72" s="44" t="s">
        <v>206</v>
      </c>
      <c r="J72" s="16" t="s">
        <v>38</v>
      </c>
      <c r="K72" s="16" t="s">
        <v>38</v>
      </c>
      <c r="L72" s="120" t="s">
        <v>242</v>
      </c>
      <c r="T72" s="13"/>
      <c r="U72" s="15"/>
      <c r="V72" s="15"/>
      <c r="W72" s="15"/>
      <c r="X72" s="15"/>
      <c r="Y72" s="15"/>
      <c r="Z72" s="105"/>
      <c r="AA72" s="15"/>
      <c r="AC72" s="8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17"/>
      <c r="BA72" s="8"/>
      <c r="BB72" s="8"/>
      <c r="BC72" s="8"/>
      <c r="BD72" s="8"/>
      <c r="BE72" s="105"/>
      <c r="BF72" s="105"/>
      <c r="BG72" s="105"/>
      <c r="BH72" s="105"/>
      <c r="BI72" s="105"/>
      <c r="BJ72" s="105"/>
    </row>
    <row r="73" spans="1:62" ht="15">
      <c r="A73" s="3" t="s">
        <v>20</v>
      </c>
      <c r="B73" s="10" t="s">
        <v>65</v>
      </c>
      <c r="C73" s="13" t="s">
        <v>211</v>
      </c>
      <c r="D73" s="13"/>
      <c r="E73" s="12" t="s">
        <v>70</v>
      </c>
      <c r="F73" s="12" t="s">
        <v>153</v>
      </c>
      <c r="G73" s="12" t="s">
        <v>145</v>
      </c>
      <c r="H73" s="12" t="s">
        <v>205</v>
      </c>
      <c r="I73" s="12" t="s">
        <v>205</v>
      </c>
      <c r="J73" s="13" t="s">
        <v>54</v>
      </c>
      <c r="K73" s="13" t="s">
        <v>59</v>
      </c>
      <c r="L73" s="18"/>
      <c r="S73" s="66"/>
      <c r="T73" s="13"/>
      <c r="U73" s="15"/>
      <c r="V73" s="15"/>
      <c r="W73" s="15"/>
      <c r="X73" s="15"/>
      <c r="Y73" s="15"/>
      <c r="Z73" s="105"/>
      <c r="AA73" s="15"/>
      <c r="AC73" s="8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17"/>
      <c r="BA73" s="8"/>
      <c r="BB73" s="8"/>
      <c r="BC73" s="8"/>
      <c r="BD73" s="8"/>
      <c r="BE73" s="105"/>
      <c r="BF73" s="105"/>
      <c r="BG73" s="105"/>
      <c r="BH73" s="105"/>
      <c r="BI73" s="105"/>
      <c r="BJ73" s="105"/>
    </row>
    <row r="74" spans="1:62" ht="15">
      <c r="A74" s="5"/>
      <c r="B74" s="11"/>
      <c r="C74" s="19" t="s">
        <v>17</v>
      </c>
      <c r="D74" s="19" t="s">
        <v>17</v>
      </c>
      <c r="E74" s="101" t="s">
        <v>17</v>
      </c>
      <c r="F74" s="101" t="s">
        <v>154</v>
      </c>
      <c r="G74" s="101" t="s">
        <v>17</v>
      </c>
      <c r="H74" s="19" t="s">
        <v>17</v>
      </c>
      <c r="I74" s="19" t="s">
        <v>17</v>
      </c>
      <c r="J74" s="19" t="s">
        <v>17</v>
      </c>
      <c r="K74" s="19" t="s">
        <v>56</v>
      </c>
      <c r="L74" s="20" t="s">
        <v>256</v>
      </c>
      <c r="T74" s="13"/>
      <c r="U74" s="15"/>
      <c r="V74" s="15"/>
      <c r="W74" s="15"/>
      <c r="X74" s="15"/>
      <c r="Y74" s="15"/>
      <c r="Z74" s="105"/>
      <c r="AA74" s="15"/>
      <c r="AC74" s="8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17"/>
      <c r="BA74" s="8"/>
      <c r="BB74" s="8"/>
      <c r="BC74" s="8"/>
      <c r="BD74" s="8"/>
      <c r="BE74" s="105"/>
      <c r="BF74" s="105"/>
      <c r="BG74" s="105"/>
      <c r="BH74" s="105"/>
      <c r="BI74" s="105"/>
      <c r="BJ74" s="105"/>
    </row>
    <row r="75" spans="1:62" ht="15">
      <c r="A75" s="10" t="s">
        <v>21</v>
      </c>
      <c r="B75" s="7">
        <f aca="true" t="shared" si="12" ref="B75:B80">IF(N63="-",3,IF(N63=MIN($N$63:$N$68),1,2))</f>
        <v>2</v>
      </c>
      <c r="C75" s="135">
        <f aca="true" t="shared" si="13" ref="C75:C80">IF(N63="-","-",IF($E$10="Simpelt understøttet",(5/384)*(($E$35*M63+M51)*(1+2*(D51/E51))*($E$4*10^3)^4)/(M63*$E$15*F51),IF($E$10="Mellemunderstøttet",(5/384)*(($E$32*M63+M51)*(1+2*(D51/E51))*($E$5*10^3)^4)/(M63*$E$15*F51))))</f>
        <v>20.9463349939979</v>
      </c>
      <c r="D75" s="135">
        <f aca="true" t="shared" si="14" ref="D75:D80">IF(C75="-","-",IF($E$23="Ja",C75,0))</f>
        <v>20.9463349939979</v>
      </c>
      <c r="E75" s="135">
        <f aca="true" t="shared" si="15" ref="E75:E80">IF(D75="-","-",D75/(1+2*(D51/E51)))</f>
        <v>17.991468037415558</v>
      </c>
      <c r="F75" s="136">
        <f aca="true" t="shared" si="16" ref="F75:F80">IF(N63="-","-",IF($E$10="Simpelt understøttet",(384/5)*(D75*$E$15*2*D51/(($E$4*10^3)^4)),IF($E$10="Mellemunderstøttet",(384/5)*(D75*$E$15*2*D51/(($E$5*10^3)^4)))))</f>
        <v>0.13938476792568477</v>
      </c>
      <c r="G75" s="137">
        <f>IF(N63="-","-",IF($E$10="Simpelt understøttet",ROUNDDOWN(1000*(Z50/((1.16*($E$4/2)*(MIN(8*G51/($E$4^2),2*I51/$E$4)+F75))/(2*200*10^-3)+($E$24/2))),0),IF($E$10="Mellemunderstøttet",ROUNDDOWN(1000*(Z50/((1.16*($E$4/2)*(MIN(8*G51/($E$4^2),2*I51/$E$4,(4/5)*J51/$E$4)+F75))/(2*200*10^-3)+($E$24/2))),0))))</f>
        <v>111</v>
      </c>
      <c r="H75" s="67">
        <f aca="true" t="shared" si="17" ref="H75:H80">IF(N63="-","-",IF($E$10="Simpelt understøttet",(5/384)*(M63*$E$38*($E$4*10^3)^4)/($E$15*F51),IF($E$10="Mellemunderstøttet",(M63*($E$38+($E$35-$E$32))/($E$15*F51))*(0.01287*(($E$4*10^3)^4)-0.0598*(1/8)*((($E$4*10^3)^3+($E$6*10^3)^3)/($E$4*10^3+$E$6*10^3))*(($E$4*10^3)^2)),"-")))</f>
        <v>18.970169836642143</v>
      </c>
      <c r="I75" s="67">
        <f aca="true" t="shared" si="18" ref="I75:I80">IF(N63="-","-",IF($E$10="Simpelt understøttet",(5/384)*((M63*$E$39+M51)*($E$4*10^3)^4)/($E$15*F51),IF($E$10="Mellemunderstøttet",((M63*$E$39+M51)/($E$15*F51))*(0.01287*(($E$4*10^3)^4)-0.0598*(1/8)*((($E$4*10^3)^3+($E$6*10^3)^3)/($E$4*10^3+$E$6*10^3))*(($E$4*10^3)^2)),"-")))</f>
        <v>22.417662862696098</v>
      </c>
      <c r="J75" s="135">
        <f aca="true" t="shared" si="19" ref="J75:J80">IF($E$23="Ja",H75,I75)</f>
        <v>18.970169836642143</v>
      </c>
      <c r="K75" s="135">
        <f aca="true" t="shared" si="20" ref="K75:K80">IF(J75="-","-",$E$4*10^3/J75)</f>
        <v>421.7147273266615</v>
      </c>
      <c r="L75" s="77">
        <f aca="true" t="shared" si="21" ref="L75:L80">IF(N63="-","-",(($E$31/($E$4^2))*(($E$15*F51*10^-6)/(($E$41*M63+M51)*10^2))^0.5)/(2*PI()))</f>
        <v>5.011718894507372</v>
      </c>
      <c r="T75" s="105"/>
      <c r="U75" s="105"/>
      <c r="V75" s="105"/>
      <c r="W75" s="105"/>
      <c r="X75" s="105"/>
      <c r="Y75" s="105"/>
      <c r="Z75" s="105"/>
      <c r="AC75" s="8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17"/>
      <c r="BA75" s="8"/>
      <c r="BB75" s="8"/>
      <c r="BC75" s="8"/>
      <c r="BD75" s="8"/>
      <c r="BE75" s="105"/>
      <c r="BF75" s="105"/>
      <c r="BG75" s="105"/>
      <c r="BH75" s="105"/>
      <c r="BI75" s="105"/>
      <c r="BJ75" s="105"/>
    </row>
    <row r="76" spans="1:62" ht="15">
      <c r="A76" s="10" t="s">
        <v>22</v>
      </c>
      <c r="B76" s="4">
        <f t="shared" si="12"/>
        <v>2</v>
      </c>
      <c r="C76" s="138">
        <f t="shared" si="13"/>
        <v>15.953929071112931</v>
      </c>
      <c r="D76" s="138">
        <f t="shared" si="14"/>
        <v>15.953929071112931</v>
      </c>
      <c r="E76" s="138">
        <f t="shared" si="15"/>
        <v>13.703500789041584</v>
      </c>
      <c r="F76" s="117">
        <f t="shared" si="16"/>
        <v>0.14071365440721603</v>
      </c>
      <c r="G76" s="139">
        <f>IF(N64="-","-",IF($E$10="Simpelt understøttet",ROUNDDOWN(1000*(Z51/((1.16*($E$4/2)*(MIN(8*G52/($E$4^2),2*I52/$E$4)+F76))/(2*200*10^-3)+($E$24/2))),0),IF($E$10="Mellemunderstøttet",ROUNDDOWN(1000*(Z51/((1.16*($E$4/2)*(MIN(8*G52/($E$4^2),2*I52/$E$4,(4/5)*J52/$E$4)+F76))/(2*200*10^-3)+($E$24/2))),0))))</f>
        <v>77</v>
      </c>
      <c r="H76" s="38">
        <f t="shared" si="17"/>
        <v>18.71448121770703</v>
      </c>
      <c r="I76" s="38">
        <f t="shared" si="18"/>
        <v>22.18219414420705</v>
      </c>
      <c r="J76" s="138">
        <f t="shared" si="19"/>
        <v>18.71448121770703</v>
      </c>
      <c r="K76" s="138">
        <f t="shared" si="20"/>
        <v>427.4764502919088</v>
      </c>
      <c r="L76" s="68">
        <f t="shared" si="21"/>
        <v>5.032559885618718</v>
      </c>
      <c r="T76" s="8"/>
      <c r="U76" s="13"/>
      <c r="V76" s="13"/>
      <c r="W76" s="13"/>
      <c r="X76" s="13"/>
      <c r="Y76" s="105"/>
      <c r="Z76" s="13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105"/>
      <c r="BF76" s="105"/>
      <c r="BG76" s="105"/>
      <c r="BH76" s="105"/>
      <c r="BI76" s="105"/>
      <c r="BJ76" s="105"/>
    </row>
    <row r="77" spans="1:62" ht="15">
      <c r="A77" s="10" t="s">
        <v>23</v>
      </c>
      <c r="B77" s="4">
        <f t="shared" si="12"/>
        <v>2</v>
      </c>
      <c r="C77" s="138">
        <f t="shared" si="13"/>
        <v>6.283861723522065</v>
      </c>
      <c r="D77" s="138">
        <f t="shared" si="14"/>
        <v>6.283861723522065</v>
      </c>
      <c r="E77" s="138">
        <f t="shared" si="15"/>
        <v>5.3067573025959325</v>
      </c>
      <c r="F77" s="117">
        <f t="shared" si="16"/>
        <v>0.1199526364403127</v>
      </c>
      <c r="G77" s="139">
        <f>IF(N65="-","-",IF($E$10="Simpelt understøttet",ROUNDDOWN(1000*(Z50/((1.16*($E$4/2)*(MIN(8*G53/($E$4^2),2*I53/$E$4)+F77))/(2*200*10^-3)+($E$24/2))),0),IF($E$10="Mellemunderstøttet",ROUNDDOWN(1000*(Z50/((1.16*($E$4/2)*(MIN(8*G53/($E$4^2),2*I53/$E$4,(4/5)*J53/$E$4)+F77))/(2*200*10^-3)+($E$24/2))),0))))</f>
        <v>82</v>
      </c>
      <c r="H77" s="38">
        <f t="shared" si="17"/>
        <v>19.85568897367798</v>
      </c>
      <c r="I77" s="38">
        <f t="shared" si="18"/>
        <v>21.47972662003267</v>
      </c>
      <c r="J77" s="138">
        <f t="shared" si="19"/>
        <v>19.85568897367798</v>
      </c>
      <c r="K77" s="138">
        <f t="shared" si="20"/>
        <v>402.9071975596178</v>
      </c>
      <c r="L77" s="68">
        <f t="shared" si="21"/>
        <v>5.307781853959946</v>
      </c>
      <c r="N77" s="105"/>
      <c r="T77" s="13"/>
      <c r="U77" s="13"/>
      <c r="V77" s="13"/>
      <c r="W77" s="13"/>
      <c r="X77" s="13"/>
      <c r="Y77" s="105"/>
      <c r="Z77" s="13"/>
      <c r="AC77" s="27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105"/>
      <c r="BF77" s="105"/>
      <c r="BG77" s="105"/>
      <c r="BH77" s="105"/>
      <c r="BI77" s="105"/>
      <c r="BJ77" s="105"/>
    </row>
    <row r="78" spans="1:62" ht="15">
      <c r="A78" s="10" t="s">
        <v>24</v>
      </c>
      <c r="B78" s="4">
        <f t="shared" si="12"/>
        <v>2</v>
      </c>
      <c r="C78" s="138">
        <f t="shared" si="13"/>
        <v>4.528318128722577</v>
      </c>
      <c r="D78" s="138">
        <f t="shared" si="14"/>
        <v>4.528318128722577</v>
      </c>
      <c r="E78" s="138">
        <f t="shared" si="15"/>
        <v>3.8292926245964196</v>
      </c>
      <c r="F78" s="117">
        <f t="shared" si="16"/>
        <v>0.11450588240170954</v>
      </c>
      <c r="G78" s="139">
        <f>IF(N66="-","-",IF($E$10="Simpelt understøttet",ROUNDDOWN(1000*(Z51/((1.16*($E$4/2)*(MIN(8*G54/($E$4^2),2*I54/$E$4)+F78))/(2*200*10^-3)+($E$24/2))),0),IF($E$10="Mellemunderstøttet",ROUNDDOWN(1000*(Z51/((1.16*($E$4/2)*(MIN(8*G54/($E$4^2),2*I54/$E$4,(4/5)*J54/$E$4)+F78))/(2*200*10^-3)+($E$24/2))),0))))</f>
        <v>50</v>
      </c>
      <c r="H78" s="38">
        <f t="shared" si="17"/>
        <v>19.906257011149712</v>
      </c>
      <c r="I78" s="38">
        <f t="shared" si="18"/>
        <v>21.483672308286213</v>
      </c>
      <c r="J78" s="138">
        <f t="shared" si="19"/>
        <v>19.906257011149712</v>
      </c>
      <c r="K78" s="138">
        <f t="shared" si="20"/>
        <v>401.88368890842276</v>
      </c>
      <c r="L78" s="68">
        <f t="shared" si="21"/>
        <v>5.312841676424321</v>
      </c>
      <c r="T78" s="12"/>
      <c r="U78" s="105"/>
      <c r="V78" s="105"/>
      <c r="W78" s="105"/>
      <c r="X78" s="105"/>
      <c r="Y78" s="105"/>
      <c r="Z78" s="105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105"/>
      <c r="BF78" s="105"/>
      <c r="BG78" s="105"/>
      <c r="BH78" s="105"/>
      <c r="BI78" s="105"/>
      <c r="BJ78" s="105"/>
    </row>
    <row r="79" spans="1:62" ht="15">
      <c r="A79" s="10" t="s">
        <v>25</v>
      </c>
      <c r="B79" s="4">
        <f t="shared" si="12"/>
        <v>1</v>
      </c>
      <c r="C79" s="138">
        <f t="shared" si="13"/>
        <v>4.180195207898016</v>
      </c>
      <c r="D79" s="138">
        <f t="shared" si="14"/>
        <v>4.180195207898016</v>
      </c>
      <c r="E79" s="138">
        <f t="shared" si="15"/>
        <v>3.510137238824101</v>
      </c>
      <c r="F79" s="117">
        <f t="shared" si="16"/>
        <v>0.11867312933021973</v>
      </c>
      <c r="G79" s="139">
        <f>IF(N67="-","-",IF($E$10="Simpelt understøttet",ROUNDDOWN(1000*(Z50/((1.16*($E$4/2)*(MIN(8*G55/($E$4^2),2*I55/$E$4)+F79))/(2*200*10^-3)+($E$24/2))),0),IF($E$10="Mellemunderstøttet",ROUNDDOWN(1000*(Z50/((1.16*($E$4/2)*(MIN(8*G55/($E$4^2),2*I55/$E$4,(4/5)*J55/$E$4)+F79))/(2*200*10^-3)+($E$24/2))),0))))</f>
        <v>82</v>
      </c>
      <c r="H79" s="38">
        <f t="shared" si="17"/>
        <v>19.551587301587304</v>
      </c>
      <c r="I79" s="38">
        <f t="shared" si="18"/>
        <v>20.787208007369617</v>
      </c>
      <c r="J79" s="138">
        <f t="shared" si="19"/>
        <v>19.551587301587304</v>
      </c>
      <c r="K79" s="138">
        <f t="shared" si="20"/>
        <v>409.17393951694737</v>
      </c>
      <c r="L79" s="68">
        <f t="shared" si="21"/>
        <v>5.437638998000134</v>
      </c>
      <c r="T79" s="13"/>
      <c r="U79" s="13"/>
      <c r="V79" s="13"/>
      <c r="W79" s="13"/>
      <c r="X79" s="13"/>
      <c r="Y79" s="105"/>
      <c r="Z79" s="13"/>
      <c r="AC79" s="8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17"/>
      <c r="BA79" s="8"/>
      <c r="BB79" s="8"/>
      <c r="BC79" s="8"/>
      <c r="BD79" s="8"/>
      <c r="BE79" s="105"/>
      <c r="BF79" s="105"/>
      <c r="BG79" s="105"/>
      <c r="BH79" s="105"/>
      <c r="BI79" s="105"/>
      <c r="BJ79" s="105"/>
    </row>
    <row r="80" spans="1:62" ht="15">
      <c r="A80" s="11" t="s">
        <v>26</v>
      </c>
      <c r="B80" s="140">
        <f t="shared" si="12"/>
        <v>2</v>
      </c>
      <c r="C80" s="141">
        <f t="shared" si="13"/>
        <v>3.3137056401439673</v>
      </c>
      <c r="D80" s="141">
        <f t="shared" si="14"/>
        <v>3.3137056401439673</v>
      </c>
      <c r="E80" s="141">
        <f t="shared" si="15"/>
        <v>2.7843022666012835</v>
      </c>
      <c r="F80" s="142">
        <f t="shared" si="16"/>
        <v>0.12528416862935807</v>
      </c>
      <c r="G80" s="143">
        <f>IF(N68="-","-",IF($E$10="Simpelt understøttet",ROUNDDOWN(1000*(Z51/((1.16*($E$4/2)*(MIN(8*G56/($E$4^2),2*I56/$E$4)+F80))/(2*200*10^-3)+($E$24/2))),0),IF($E$10="Mellemunderstøttet",ROUNDDOWN(1000*(Z51/((1.16*($E$4/2)*(MIN(8*G56/($E$4^2),2*I56/$E$4,(4/5)*J56/$E$4)+F80))/(2*200*10^-3)+($E$24/2))),0))))</f>
        <v>50</v>
      </c>
      <c r="H80" s="69">
        <f t="shared" si="17"/>
        <v>14.30935039593402</v>
      </c>
      <c r="I80" s="69">
        <f t="shared" si="18"/>
        <v>15.515113001481309</v>
      </c>
      <c r="J80" s="141">
        <f t="shared" si="19"/>
        <v>14.30935039593402</v>
      </c>
      <c r="K80" s="141">
        <f t="shared" si="20"/>
        <v>559.0749949259183</v>
      </c>
      <c r="L80" s="60">
        <f t="shared" si="21"/>
        <v>6.23897263742331</v>
      </c>
      <c r="T80" s="13"/>
      <c r="U80" s="13"/>
      <c r="V80" s="13"/>
      <c r="W80" s="13"/>
      <c r="X80" s="13"/>
      <c r="Y80" s="105"/>
      <c r="Z80" s="13"/>
      <c r="AC80" s="8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17"/>
      <c r="BA80" s="8"/>
      <c r="BB80" s="8"/>
      <c r="BC80" s="8"/>
      <c r="BD80" s="8"/>
      <c r="BE80" s="105"/>
      <c r="BF80" s="105"/>
      <c r="BG80" s="105"/>
      <c r="BH80" s="105"/>
      <c r="BI80" s="105"/>
      <c r="BJ80" s="105"/>
    </row>
    <row r="81" spans="1:6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11"/>
      <c r="T81" s="13"/>
      <c r="U81" s="13"/>
      <c r="V81" s="13"/>
      <c r="W81" s="13"/>
      <c r="X81" s="13"/>
      <c r="Y81" s="105"/>
      <c r="Z81" s="13"/>
      <c r="AC81" s="8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17"/>
      <c r="BA81" s="8"/>
      <c r="BB81" s="8"/>
      <c r="BC81" s="8"/>
      <c r="BD81" s="8"/>
      <c r="BE81" s="105"/>
      <c r="BF81" s="105"/>
      <c r="BG81" s="105"/>
      <c r="BH81" s="105"/>
      <c r="BI81" s="105"/>
      <c r="BJ81" s="105"/>
    </row>
    <row r="82" spans="1:62" ht="15">
      <c r="A82" s="84"/>
      <c r="B82" s="105"/>
      <c r="C82" s="105"/>
      <c r="D82" s="105"/>
      <c r="E82" s="105"/>
      <c r="F82" s="105"/>
      <c r="T82" s="105"/>
      <c r="U82" s="105"/>
      <c r="V82" s="105"/>
      <c r="W82" s="105"/>
      <c r="X82" s="105"/>
      <c r="Y82" s="105"/>
      <c r="Z82" s="105"/>
      <c r="AA82" s="156"/>
      <c r="AC82" s="8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17"/>
      <c r="BA82" s="8"/>
      <c r="BB82" s="8"/>
      <c r="BC82" s="8"/>
      <c r="BD82" s="8"/>
      <c r="BE82" s="105"/>
      <c r="BF82" s="105"/>
      <c r="BG82" s="105"/>
      <c r="BH82" s="105"/>
      <c r="BI82" s="105"/>
      <c r="BJ82" s="105"/>
    </row>
    <row r="83" spans="1:62" ht="15">
      <c r="A83" s="105"/>
      <c r="B83" s="105"/>
      <c r="C83" s="105"/>
      <c r="D83" s="105"/>
      <c r="E83" s="105"/>
      <c r="F83" s="105"/>
      <c r="G83" s="2"/>
      <c r="H83" s="96"/>
      <c r="J83" s="2"/>
      <c r="K83" s="2"/>
      <c r="L83" s="2"/>
      <c r="M83" s="2"/>
      <c r="N83" s="2"/>
      <c r="O83" s="2"/>
      <c r="P83" s="2"/>
      <c r="Q83" s="2"/>
      <c r="R83" s="2"/>
      <c r="T83" s="13"/>
      <c r="U83" s="213"/>
      <c r="V83" s="198"/>
      <c r="W83" s="198"/>
      <c r="X83" s="198"/>
      <c r="Y83" s="198"/>
      <c r="Z83" s="19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105"/>
      <c r="BF83" s="105"/>
      <c r="BG83" s="105"/>
      <c r="BH83" s="105"/>
      <c r="BI83" s="105"/>
      <c r="BJ83" s="105"/>
    </row>
    <row r="84" spans="1:62" ht="15">
      <c r="A84" s="8"/>
      <c r="B84" s="8"/>
      <c r="C84" s="13"/>
      <c r="D84" s="190"/>
      <c r="E84" s="105"/>
      <c r="F84" s="105"/>
      <c r="G84" s="2"/>
      <c r="H84" s="96"/>
      <c r="J84" s="2"/>
      <c r="K84" s="161"/>
      <c r="L84" s="161"/>
      <c r="M84" s="161"/>
      <c r="N84" s="111"/>
      <c r="O84" s="161"/>
      <c r="P84" s="161"/>
      <c r="Q84" s="111"/>
      <c r="R84" s="161"/>
      <c r="T84" s="12"/>
      <c r="U84" s="213"/>
      <c r="V84" s="198"/>
      <c r="W84" s="222"/>
      <c r="X84" s="198"/>
      <c r="Y84" s="213"/>
      <c r="Z84" s="198"/>
      <c r="AC84" s="177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105"/>
      <c r="BF84" s="105"/>
      <c r="BG84" s="105"/>
      <c r="BH84" s="105"/>
      <c r="BI84" s="105"/>
      <c r="BJ84" s="105"/>
    </row>
    <row r="85" spans="1:62" ht="15">
      <c r="A85" s="8"/>
      <c r="B85" s="8"/>
      <c r="C85" s="13"/>
      <c r="D85" s="191"/>
      <c r="E85" s="8"/>
      <c r="F85" s="105"/>
      <c r="J85" s="2"/>
      <c r="K85" s="161"/>
      <c r="L85" s="161"/>
      <c r="M85" s="161"/>
      <c r="N85" s="111"/>
      <c r="O85" s="161"/>
      <c r="P85" s="161"/>
      <c r="Q85" s="111"/>
      <c r="R85" s="161"/>
      <c r="T85" s="13"/>
      <c r="U85" s="213"/>
      <c r="V85" s="198"/>
      <c r="W85" s="213"/>
      <c r="X85" s="198"/>
      <c r="Y85" s="213"/>
      <c r="Z85" s="19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105"/>
      <c r="BF85" s="105"/>
      <c r="BG85" s="105"/>
      <c r="BH85" s="105"/>
      <c r="BI85" s="105"/>
      <c r="BJ85" s="105"/>
    </row>
    <row r="86" spans="1:56" ht="15">
      <c r="A86" s="8"/>
      <c r="B86" s="8"/>
      <c r="C86" s="13"/>
      <c r="D86" s="192"/>
      <c r="E86" s="51"/>
      <c r="F86" s="105"/>
      <c r="J86" s="2"/>
      <c r="K86" s="161"/>
      <c r="L86" s="161"/>
      <c r="M86" s="161"/>
      <c r="N86" s="111"/>
      <c r="O86" s="161"/>
      <c r="P86" s="161"/>
      <c r="Q86" s="111"/>
      <c r="R86" s="161"/>
      <c r="T86" s="139"/>
      <c r="U86" s="213"/>
      <c r="V86" s="198"/>
      <c r="W86" s="213"/>
      <c r="X86" s="198"/>
      <c r="Y86" s="213"/>
      <c r="Z86" s="198"/>
      <c r="AC86" s="27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2"/>
      <c r="BC86" s="2"/>
      <c r="BD86" s="2"/>
    </row>
    <row r="87" spans="1:56" ht="15">
      <c r="A87" s="8"/>
      <c r="B87" s="8"/>
      <c r="C87" s="15"/>
      <c r="D87" s="192"/>
      <c r="E87" s="51"/>
      <c r="F87" s="105"/>
      <c r="H87" s="122"/>
      <c r="J87" s="2"/>
      <c r="K87" s="161"/>
      <c r="L87" s="161"/>
      <c r="M87" s="161"/>
      <c r="N87" s="111"/>
      <c r="O87" s="161"/>
      <c r="P87" s="161"/>
      <c r="Q87" s="111"/>
      <c r="R87" s="161"/>
      <c r="T87" s="12"/>
      <c r="U87" s="213"/>
      <c r="V87" s="198"/>
      <c r="W87" s="213"/>
      <c r="X87" s="198"/>
      <c r="Y87" s="213"/>
      <c r="Z87" s="19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2"/>
      <c r="BC87" s="2"/>
      <c r="BD87" s="2"/>
    </row>
    <row r="88" spans="1:56" ht="15">
      <c r="A88" s="8"/>
      <c r="B88" s="8"/>
      <c r="C88" s="13"/>
      <c r="D88" s="192"/>
      <c r="E88" s="51"/>
      <c r="F88" s="105"/>
      <c r="H88" s="122"/>
      <c r="J88" s="2"/>
      <c r="K88" s="161"/>
      <c r="L88" s="161"/>
      <c r="M88" s="161"/>
      <c r="N88" s="111"/>
      <c r="O88" s="161"/>
      <c r="P88" s="161"/>
      <c r="Q88" s="111"/>
      <c r="R88" s="161"/>
      <c r="AC88" s="8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17"/>
      <c r="BA88" s="8"/>
      <c r="BB88" s="2"/>
      <c r="BC88" s="2"/>
      <c r="BD88" s="2"/>
    </row>
    <row r="89" spans="1:56" ht="15">
      <c r="A89" s="8"/>
      <c r="B89" s="8"/>
      <c r="C89" s="13"/>
      <c r="D89" s="13"/>
      <c r="E89" s="105"/>
      <c r="F89" s="105"/>
      <c r="J89" s="2"/>
      <c r="K89" s="161"/>
      <c r="L89" s="161"/>
      <c r="M89" s="161"/>
      <c r="N89" s="111"/>
      <c r="O89" s="161"/>
      <c r="P89" s="161"/>
      <c r="Q89" s="111"/>
      <c r="R89" s="161"/>
      <c r="AC89" s="8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17"/>
      <c r="BA89" s="8"/>
      <c r="BB89" s="2"/>
      <c r="BC89" s="2"/>
      <c r="BD89" s="2"/>
    </row>
    <row r="90" spans="1:56" ht="15">
      <c r="A90" s="65"/>
      <c r="B90" s="8"/>
      <c r="C90" s="38"/>
      <c r="D90" s="38"/>
      <c r="E90" s="105"/>
      <c r="F90" s="105"/>
      <c r="I90" s="96"/>
      <c r="J90" s="2"/>
      <c r="K90" s="2"/>
      <c r="L90" s="2"/>
      <c r="M90" s="2"/>
      <c r="N90" s="2"/>
      <c r="O90" s="2"/>
      <c r="P90" s="2"/>
      <c r="Q90" s="2"/>
      <c r="R90" s="2"/>
      <c r="AC90" s="8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17"/>
      <c r="BA90" s="8"/>
      <c r="BB90" s="2"/>
      <c r="BC90" s="2"/>
      <c r="BD90" s="2"/>
    </row>
    <row r="91" spans="1:56" ht="15">
      <c r="A91" s="168"/>
      <c r="C91" s="13"/>
      <c r="D91" s="13"/>
      <c r="E91" s="105"/>
      <c r="I91" s="96"/>
      <c r="AC91" s="8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17"/>
      <c r="BA91" s="8"/>
      <c r="BB91" s="2"/>
      <c r="BC91" s="2"/>
      <c r="BD91" s="2"/>
    </row>
    <row r="92" spans="1:56" ht="15">
      <c r="A92" s="13"/>
      <c r="C92" s="38"/>
      <c r="D92" s="13"/>
      <c r="E92" s="105"/>
      <c r="I92" s="96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2"/>
      <c r="BC92" s="2"/>
      <c r="BD92" s="2"/>
    </row>
    <row r="93" spans="2:56" ht="15">
      <c r="B93" s="38"/>
      <c r="C93" s="15"/>
      <c r="I93" s="96"/>
      <c r="AC93" s="27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2"/>
      <c r="BC93" s="2"/>
      <c r="BD93" s="2"/>
    </row>
    <row r="94" spans="1:56" ht="15">
      <c r="A94" s="38"/>
      <c r="B94" s="38"/>
      <c r="C94" s="15"/>
      <c r="D94" s="38"/>
      <c r="E94" s="2"/>
      <c r="H94" s="2"/>
      <c r="I94" s="96"/>
      <c r="K94" s="2"/>
      <c r="L94" s="2"/>
      <c r="M94" s="2"/>
      <c r="N94" s="2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2"/>
      <c r="BC94" s="2"/>
      <c r="BD94" s="2"/>
    </row>
    <row r="95" spans="1:56" ht="15">
      <c r="A95" s="122"/>
      <c r="B95" s="38"/>
      <c r="C95" s="122"/>
      <c r="E95" s="2"/>
      <c r="G95" s="2"/>
      <c r="H95" s="38"/>
      <c r="I95" s="15"/>
      <c r="J95" s="2"/>
      <c r="M95" s="2"/>
      <c r="N95" s="2"/>
      <c r="AC95" s="8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17"/>
      <c r="BA95" s="8"/>
      <c r="BB95" s="2"/>
      <c r="BC95" s="2"/>
      <c r="BD95" s="2"/>
    </row>
    <row r="96" spans="1:56" ht="15">
      <c r="A96" s="38"/>
      <c r="B96" s="38"/>
      <c r="C96" s="38"/>
      <c r="E96" s="38"/>
      <c r="I96" s="15"/>
      <c r="J96" s="2"/>
      <c r="M96" s="2"/>
      <c r="N96" s="2"/>
      <c r="AC96" s="8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17"/>
      <c r="BA96" s="8"/>
      <c r="BB96" s="2"/>
      <c r="BC96" s="2"/>
      <c r="BD96" s="2"/>
    </row>
    <row r="97" spans="1:56" ht="15">
      <c r="A97" s="38"/>
      <c r="B97" s="38"/>
      <c r="C97" s="38"/>
      <c r="E97" s="162"/>
      <c r="G97" s="8"/>
      <c r="H97" s="8"/>
      <c r="I97" s="15"/>
      <c r="J97" s="2"/>
      <c r="M97" s="15"/>
      <c r="N97" s="15"/>
      <c r="AC97" s="8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17"/>
      <c r="BA97" s="8"/>
      <c r="BB97" s="2"/>
      <c r="BC97" s="2"/>
      <c r="BD97" s="2"/>
    </row>
    <row r="98" spans="1:56" ht="15">
      <c r="A98" s="38"/>
      <c r="B98" s="38"/>
      <c r="C98" s="38"/>
      <c r="E98" s="162"/>
      <c r="H98" s="111"/>
      <c r="I98" s="15"/>
      <c r="J98" s="2"/>
      <c r="M98" s="15"/>
      <c r="N98" s="15"/>
      <c r="AC98" s="8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17"/>
      <c r="BA98" s="8"/>
      <c r="BB98" s="2"/>
      <c r="BC98" s="2"/>
      <c r="BD98" s="2"/>
    </row>
    <row r="99" spans="1:56" ht="15">
      <c r="A99" s="38"/>
      <c r="B99" s="38"/>
      <c r="C99" s="38"/>
      <c r="E99" s="162"/>
      <c r="H99" s="162"/>
      <c r="I99" s="38"/>
      <c r="J99" s="2"/>
      <c r="M99" s="111"/>
      <c r="N99" s="111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2"/>
      <c r="BC99" s="2"/>
      <c r="BD99" s="2"/>
    </row>
    <row r="100" spans="1:56" ht="15">
      <c r="A100" s="38"/>
      <c r="B100" s="38"/>
      <c r="C100" s="38"/>
      <c r="E100" s="162"/>
      <c r="H100" s="162"/>
      <c r="I100" s="38"/>
      <c r="J100" s="2"/>
      <c r="M100" s="111"/>
      <c r="N100" s="111"/>
      <c r="AC100" s="27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2"/>
      <c r="BC100" s="2"/>
      <c r="BD100" s="2"/>
    </row>
    <row r="101" spans="1:56" ht="15">
      <c r="A101" s="38"/>
      <c r="B101" s="38"/>
      <c r="C101" s="38"/>
      <c r="E101" s="162"/>
      <c r="H101" s="162"/>
      <c r="I101" s="38"/>
      <c r="J101" s="2"/>
      <c r="M101" s="162"/>
      <c r="N101" s="162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2"/>
      <c r="BC101" s="2"/>
      <c r="BD101" s="2"/>
    </row>
    <row r="102" spans="1:56" ht="15">
      <c r="A102" s="38"/>
      <c r="B102" s="38"/>
      <c r="C102" s="38"/>
      <c r="E102" s="162"/>
      <c r="H102" s="162"/>
      <c r="I102" s="38"/>
      <c r="J102" s="2"/>
      <c r="M102" s="162"/>
      <c r="N102" s="162"/>
      <c r="AC102" s="8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17"/>
      <c r="BA102" s="8"/>
      <c r="BB102" s="2"/>
      <c r="BC102" s="2"/>
      <c r="BD102" s="2"/>
    </row>
    <row r="103" spans="1:56" ht="15">
      <c r="A103" s="111"/>
      <c r="B103" s="111"/>
      <c r="C103" s="2"/>
      <c r="D103" s="2"/>
      <c r="E103" s="2"/>
      <c r="I103" s="38"/>
      <c r="J103" s="2"/>
      <c r="M103" s="162"/>
      <c r="N103" s="162"/>
      <c r="AC103" s="8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17"/>
      <c r="BA103" s="8"/>
      <c r="BB103" s="2"/>
      <c r="BC103" s="2"/>
      <c r="BD103" s="2"/>
    </row>
    <row r="104" spans="1:56" ht="15">
      <c r="A104" s="122"/>
      <c r="B104" s="38"/>
      <c r="C104" s="122"/>
      <c r="E104" s="2"/>
      <c r="I104" s="38"/>
      <c r="J104" s="2"/>
      <c r="M104" s="162"/>
      <c r="N104" s="162"/>
      <c r="AC104" s="8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17"/>
      <c r="BA104" s="8"/>
      <c r="BB104" s="2"/>
      <c r="BC104" s="2"/>
      <c r="BD104" s="2"/>
    </row>
    <row r="105" spans="1:56" ht="15">
      <c r="A105" s="38"/>
      <c r="B105" s="38"/>
      <c r="C105" s="38"/>
      <c r="E105" s="38"/>
      <c r="G105" s="2"/>
      <c r="I105" s="2"/>
      <c r="J105" s="2"/>
      <c r="K105" s="2"/>
      <c r="L105" s="2"/>
      <c r="M105" s="2"/>
      <c r="N105" s="2"/>
      <c r="AC105" s="8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17"/>
      <c r="BA105" s="8"/>
      <c r="BB105" s="2"/>
      <c r="BC105" s="2"/>
      <c r="BD105" s="2"/>
    </row>
    <row r="106" spans="1:56" ht="15">
      <c r="A106" s="38"/>
      <c r="B106" s="38"/>
      <c r="C106" s="38"/>
      <c r="E106" s="162"/>
      <c r="I106" s="15"/>
      <c r="J106" s="2"/>
      <c r="M106" s="2"/>
      <c r="N106" s="2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2"/>
      <c r="BC106" s="2"/>
      <c r="BD106" s="2"/>
    </row>
    <row r="107" spans="1:56" ht="15">
      <c r="A107" s="38"/>
      <c r="B107" s="38"/>
      <c r="C107" s="38"/>
      <c r="E107" s="162"/>
      <c r="I107" s="15"/>
      <c r="J107" s="2"/>
      <c r="M107" s="2"/>
      <c r="N107" s="2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2"/>
      <c r="BC107" s="2"/>
      <c r="BD107" s="2"/>
    </row>
    <row r="108" spans="1:53" ht="15">
      <c r="A108" s="38"/>
      <c r="B108" s="38"/>
      <c r="C108" s="38"/>
      <c r="E108" s="162"/>
      <c r="H108" s="111"/>
      <c r="I108" s="15"/>
      <c r="J108" s="2"/>
      <c r="M108" s="15"/>
      <c r="N108" s="1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</row>
    <row r="109" spans="1:53" ht="15">
      <c r="A109" s="38"/>
      <c r="B109" s="38"/>
      <c r="C109" s="38"/>
      <c r="E109" s="162"/>
      <c r="H109" s="111"/>
      <c r="I109" s="15"/>
      <c r="J109" s="2"/>
      <c r="M109" s="15"/>
      <c r="N109" s="1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</row>
    <row r="110" spans="1:53" ht="15">
      <c r="A110" s="38"/>
      <c r="B110" s="38"/>
      <c r="C110" s="38"/>
      <c r="E110" s="162"/>
      <c r="H110" s="162"/>
      <c r="I110" s="38"/>
      <c r="J110" s="2"/>
      <c r="M110" s="111"/>
      <c r="N110" s="111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</row>
    <row r="111" spans="1:53" ht="15">
      <c r="A111" s="38"/>
      <c r="B111" s="38"/>
      <c r="C111" s="38"/>
      <c r="E111" s="162"/>
      <c r="H111" s="162"/>
      <c r="I111" s="38"/>
      <c r="J111" s="2"/>
      <c r="M111" s="111"/>
      <c r="N111" s="111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</row>
    <row r="112" spans="1:53" ht="15">
      <c r="A112" s="161"/>
      <c r="B112" s="161"/>
      <c r="C112" s="161"/>
      <c r="D112" s="161"/>
      <c r="E112" s="2"/>
      <c r="F112" s="2"/>
      <c r="H112" s="162"/>
      <c r="I112" s="38"/>
      <c r="J112" s="2"/>
      <c r="M112" s="162"/>
      <c r="N112" s="162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</row>
    <row r="113" spans="1:14" ht="15">
      <c r="A113" s="169"/>
      <c r="B113" s="161"/>
      <c r="C113" s="161"/>
      <c r="D113" s="161"/>
      <c r="E113" s="2"/>
      <c r="F113" s="2"/>
      <c r="H113" s="162"/>
      <c r="I113" s="38"/>
      <c r="J113" s="2"/>
      <c r="M113" s="162"/>
      <c r="N113" s="162"/>
    </row>
    <row r="114" spans="1:14" ht="15">
      <c r="A114" s="161"/>
      <c r="B114" s="161"/>
      <c r="C114" s="161"/>
      <c r="D114" s="161"/>
      <c r="E114" s="2"/>
      <c r="F114" s="2"/>
      <c r="G114" s="2"/>
      <c r="H114" s="2"/>
      <c r="I114" s="38"/>
      <c r="J114" s="2"/>
      <c r="M114" s="162"/>
      <c r="N114" s="162"/>
    </row>
    <row r="115" spans="1:14" ht="15">
      <c r="A115" s="162"/>
      <c r="B115" s="161"/>
      <c r="C115" s="161"/>
      <c r="D115" s="161"/>
      <c r="E115" s="2"/>
      <c r="F115" s="2"/>
      <c r="G115" s="2"/>
      <c r="H115" s="2"/>
      <c r="I115" s="38"/>
      <c r="J115" s="2"/>
      <c r="M115" s="162"/>
      <c r="N115" s="162"/>
    </row>
    <row r="116" spans="1:14" ht="15">
      <c r="A116" s="162"/>
      <c r="B116" s="161"/>
      <c r="C116" s="161"/>
      <c r="D116" s="161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162"/>
      <c r="B117" s="162"/>
      <c r="C117" s="162"/>
      <c r="D117" s="16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>
      <c r="A118" s="162"/>
      <c r="B118" s="162"/>
      <c r="C118" s="162"/>
      <c r="D118" s="162"/>
      <c r="E118" s="58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>
      <c r="A119" s="162"/>
      <c r="B119" s="162"/>
      <c r="C119" s="162"/>
      <c r="D119" s="16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162"/>
      <c r="B120" s="162"/>
      <c r="C120" s="162"/>
      <c r="D120" s="16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7:14" ht="15">
      <c r="G121" s="2"/>
      <c r="H121" s="2"/>
      <c r="I121" s="2"/>
      <c r="J121" s="2"/>
      <c r="K121" s="2"/>
      <c r="L121" s="2"/>
      <c r="M121" s="2"/>
      <c r="N121" s="2"/>
    </row>
    <row r="122" spans="1:11" ht="15">
      <c r="A122" s="162"/>
      <c r="B122" s="162"/>
      <c r="C122" s="162"/>
      <c r="D122" s="162"/>
      <c r="E122" s="2"/>
      <c r="F122" s="2"/>
      <c r="G122" s="2"/>
      <c r="H122" s="2"/>
      <c r="I122" s="2"/>
      <c r="J122" s="2"/>
      <c r="K122" s="2"/>
    </row>
    <row r="123" spans="1:11" ht="15">
      <c r="A123" s="168"/>
      <c r="C123" s="13"/>
      <c r="D123" s="13"/>
      <c r="E123" s="105"/>
      <c r="I123" s="96"/>
      <c r="J123" s="2"/>
      <c r="K123" s="2"/>
    </row>
    <row r="124" spans="1:11" ht="15">
      <c r="A124" s="13"/>
      <c r="C124" s="38"/>
      <c r="D124" s="13"/>
      <c r="E124" s="105"/>
      <c r="I124" s="96"/>
      <c r="J124" s="2"/>
      <c r="K124" s="2"/>
    </row>
    <row r="125" spans="1:16" ht="15">
      <c r="A125" s="122"/>
      <c r="B125" s="38"/>
      <c r="D125" s="122"/>
      <c r="G125" s="122"/>
      <c r="H125" s="38"/>
      <c r="J125" s="122"/>
      <c r="M125" s="2"/>
      <c r="O125" s="2"/>
      <c r="P125" s="2"/>
    </row>
    <row r="126" spans="1:16" ht="15">
      <c r="A126" s="38"/>
      <c r="B126" s="38"/>
      <c r="D126" s="38"/>
      <c r="G126" s="38"/>
      <c r="H126" s="38"/>
      <c r="J126" s="38"/>
      <c r="M126" s="38"/>
      <c r="O126" s="2"/>
      <c r="P126" s="38"/>
    </row>
    <row r="127" spans="1:16" ht="15">
      <c r="A127" s="38"/>
      <c r="B127" s="38"/>
      <c r="D127" s="162"/>
      <c r="G127" s="38"/>
      <c r="H127" s="162"/>
      <c r="J127" s="162"/>
      <c r="M127" s="162"/>
      <c r="O127" s="2"/>
      <c r="P127" s="162"/>
    </row>
    <row r="128" spans="1:16" ht="15">
      <c r="A128" s="38"/>
      <c r="B128" s="38"/>
      <c r="D128" s="162"/>
      <c r="G128" s="38"/>
      <c r="H128" s="162"/>
      <c r="J128" s="162"/>
      <c r="M128" s="162"/>
      <c r="O128" s="2"/>
      <c r="P128" s="162"/>
    </row>
    <row r="129" spans="1:16" ht="15">
      <c r="A129" s="38"/>
      <c r="B129" s="38"/>
      <c r="D129" s="162"/>
      <c r="G129" s="38"/>
      <c r="H129" s="162"/>
      <c r="J129" s="162"/>
      <c r="M129" s="162"/>
      <c r="O129" s="2"/>
      <c r="P129" s="162"/>
    </row>
    <row r="130" spans="1:16" ht="15">
      <c r="A130" s="38"/>
      <c r="B130" s="38"/>
      <c r="D130" s="162"/>
      <c r="G130" s="38"/>
      <c r="H130" s="162"/>
      <c r="J130" s="162"/>
      <c r="M130" s="162"/>
      <c r="O130" s="2"/>
      <c r="P130" s="162"/>
    </row>
    <row r="131" spans="1:16" ht="15">
      <c r="A131" s="38"/>
      <c r="B131" s="38"/>
      <c r="D131" s="162"/>
      <c r="G131" s="38"/>
      <c r="H131" s="162"/>
      <c r="J131" s="162"/>
      <c r="M131" s="162"/>
      <c r="O131" s="2"/>
      <c r="P131" s="162"/>
    </row>
    <row r="132" spans="1:16" ht="15">
      <c r="A132" s="38"/>
      <c r="B132" s="38"/>
      <c r="D132" s="162"/>
      <c r="G132" s="38"/>
      <c r="H132" s="162"/>
      <c r="J132" s="162"/>
      <c r="M132" s="162"/>
      <c r="O132" s="2"/>
      <c r="P132" s="162"/>
    </row>
    <row r="133" spans="1:15" ht="15">
      <c r="A133" s="111"/>
      <c r="B133" s="11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122"/>
      <c r="B134" s="38"/>
      <c r="C134" s="15"/>
      <c r="D134" s="122"/>
      <c r="E134" s="38"/>
      <c r="G134" s="122"/>
      <c r="H134" s="38"/>
      <c r="I134" s="15"/>
      <c r="J134" s="2"/>
      <c r="M134" s="15"/>
      <c r="N134" s="15"/>
      <c r="O134" s="2"/>
    </row>
    <row r="135" spans="1:15" ht="15">
      <c r="A135" s="38"/>
      <c r="B135" s="38"/>
      <c r="C135" s="15"/>
      <c r="D135" s="38"/>
      <c r="E135" s="38"/>
      <c r="G135" s="38"/>
      <c r="H135" s="38"/>
      <c r="I135" s="15"/>
      <c r="J135" s="2"/>
      <c r="M135" s="15"/>
      <c r="N135" s="15"/>
      <c r="O135" s="2"/>
    </row>
    <row r="136" spans="1:15" ht="15">
      <c r="A136" s="38"/>
      <c r="B136" s="38"/>
      <c r="C136" s="38"/>
      <c r="D136" s="38"/>
      <c r="E136" s="38"/>
      <c r="G136" s="162"/>
      <c r="H136" s="162"/>
      <c r="I136" s="38"/>
      <c r="J136" s="2"/>
      <c r="M136" s="15"/>
      <c r="N136" s="15"/>
      <c r="O136" s="2"/>
    </row>
    <row r="137" spans="1:15" ht="15">
      <c r="A137" s="38"/>
      <c r="B137" s="38"/>
      <c r="C137" s="38"/>
      <c r="D137" s="38"/>
      <c r="E137" s="38"/>
      <c r="G137" s="162"/>
      <c r="H137" s="162"/>
      <c r="I137" s="38"/>
      <c r="J137" s="2"/>
      <c r="M137" s="15"/>
      <c r="N137" s="15"/>
      <c r="O137" s="2"/>
    </row>
    <row r="138" spans="1:15" ht="15">
      <c r="A138" s="38"/>
      <c r="B138" s="38"/>
      <c r="C138" s="38"/>
      <c r="D138" s="38"/>
      <c r="E138" s="38"/>
      <c r="G138" s="162"/>
      <c r="H138" s="162"/>
      <c r="I138" s="38"/>
      <c r="J138" s="2"/>
      <c r="M138" s="111"/>
      <c r="N138" s="111"/>
      <c r="O138" s="2"/>
    </row>
    <row r="139" spans="1:15" ht="15">
      <c r="A139" s="38"/>
      <c r="B139" s="38"/>
      <c r="C139" s="38"/>
      <c r="D139" s="38"/>
      <c r="E139" s="38"/>
      <c r="G139" s="162"/>
      <c r="H139" s="162"/>
      <c r="I139" s="38"/>
      <c r="J139" s="2"/>
      <c r="M139" s="111"/>
      <c r="N139" s="117"/>
      <c r="O139" s="2"/>
    </row>
    <row r="140" spans="1:15" ht="15">
      <c r="A140" s="38"/>
      <c r="B140" s="38"/>
      <c r="C140" s="38"/>
      <c r="D140" s="38"/>
      <c r="E140" s="38"/>
      <c r="G140" s="162"/>
      <c r="H140" s="162"/>
      <c r="I140" s="38"/>
      <c r="J140" s="2"/>
      <c r="M140" s="162"/>
      <c r="N140" s="162"/>
      <c r="O140" s="2"/>
    </row>
    <row r="141" spans="1:15" ht="15">
      <c r="A141" s="38"/>
      <c r="B141" s="38"/>
      <c r="C141" s="38"/>
      <c r="D141" s="38"/>
      <c r="E141" s="38"/>
      <c r="G141" s="162"/>
      <c r="H141" s="162"/>
      <c r="I141" s="38"/>
      <c r="J141" s="2"/>
      <c r="M141" s="162"/>
      <c r="N141" s="162"/>
      <c r="O141" s="2"/>
    </row>
    <row r="142" spans="10:15" ht="15">
      <c r="J142" s="2"/>
      <c r="M142" s="162"/>
      <c r="N142" s="162"/>
      <c r="O142" s="2"/>
    </row>
    <row r="143" spans="1:15" ht="15">
      <c r="A143" s="170"/>
      <c r="B143" s="38"/>
      <c r="C143" s="15"/>
      <c r="D143" s="170"/>
      <c r="E143" s="38"/>
      <c r="G143" s="170"/>
      <c r="H143" s="38"/>
      <c r="J143" s="2"/>
      <c r="M143" s="162"/>
      <c r="N143" s="162"/>
      <c r="O143" s="2"/>
    </row>
    <row r="144" spans="1:15" ht="15">
      <c r="A144" s="38"/>
      <c r="B144" s="38"/>
      <c r="C144" s="15"/>
      <c r="D144" s="38"/>
      <c r="E144" s="38"/>
      <c r="G144" s="38"/>
      <c r="H144" s="38"/>
      <c r="I144" s="2"/>
      <c r="J144" s="2"/>
      <c r="K144" s="2"/>
      <c r="L144" s="2"/>
      <c r="M144" s="2"/>
      <c r="N144" s="2"/>
      <c r="O144" s="2"/>
    </row>
    <row r="145" spans="1:15" ht="15">
      <c r="A145" s="38"/>
      <c r="B145" s="38"/>
      <c r="C145" s="38"/>
      <c r="D145" s="38"/>
      <c r="E145" s="38"/>
      <c r="G145" s="38"/>
      <c r="H145" s="38"/>
      <c r="I145" s="2"/>
      <c r="J145" s="2"/>
      <c r="M145" s="2"/>
      <c r="N145" s="2"/>
      <c r="O145" s="2"/>
    </row>
    <row r="146" spans="1:15" ht="15">
      <c r="A146" s="38"/>
      <c r="B146" s="38"/>
      <c r="C146" s="38"/>
      <c r="D146" s="38"/>
      <c r="E146" s="38"/>
      <c r="G146" s="38"/>
      <c r="H146" s="38"/>
      <c r="I146" s="2"/>
      <c r="J146" s="2"/>
      <c r="M146" s="2"/>
      <c r="N146" s="2"/>
      <c r="O146" s="2"/>
    </row>
    <row r="147" spans="1:15" ht="15">
      <c r="A147" s="38"/>
      <c r="B147" s="38"/>
      <c r="C147" s="38"/>
      <c r="D147" s="38"/>
      <c r="E147" s="38"/>
      <c r="G147" s="38"/>
      <c r="H147" s="38"/>
      <c r="I147" s="15"/>
      <c r="J147" s="2"/>
      <c r="M147" s="15"/>
      <c r="N147" s="15"/>
      <c r="O147" s="2"/>
    </row>
    <row r="148" spans="1:15" ht="15">
      <c r="A148" s="38"/>
      <c r="B148" s="38"/>
      <c r="C148" s="38"/>
      <c r="D148" s="38"/>
      <c r="E148" s="38"/>
      <c r="G148" s="38"/>
      <c r="H148" s="38"/>
      <c r="I148" s="15"/>
      <c r="J148" s="2"/>
      <c r="M148" s="15"/>
      <c r="N148" s="15"/>
      <c r="O148" s="2"/>
    </row>
    <row r="149" spans="1:15" ht="15">
      <c r="A149" s="38"/>
      <c r="B149" s="38"/>
      <c r="C149" s="38"/>
      <c r="D149" s="38"/>
      <c r="E149" s="38"/>
      <c r="G149" s="38"/>
      <c r="H149" s="38"/>
      <c r="I149" s="38"/>
      <c r="J149" s="2"/>
      <c r="M149" s="111"/>
      <c r="N149" s="111"/>
      <c r="O149" s="2"/>
    </row>
    <row r="150" spans="1:15" ht="15">
      <c r="A150" s="38"/>
      <c r="B150" s="38"/>
      <c r="C150" s="38"/>
      <c r="D150" s="38"/>
      <c r="E150" s="38"/>
      <c r="G150" s="38"/>
      <c r="H150" s="38"/>
      <c r="I150" s="38"/>
      <c r="J150" s="2"/>
      <c r="M150" s="111"/>
      <c r="N150" s="117"/>
      <c r="O150" s="2"/>
    </row>
    <row r="151" spans="9:15" ht="15">
      <c r="I151" s="38"/>
      <c r="M151" s="38"/>
      <c r="N151" s="38"/>
      <c r="O151" s="2"/>
    </row>
    <row r="152" spans="1:15" ht="15">
      <c r="A152" s="169"/>
      <c r="I152" s="38"/>
      <c r="M152" s="38"/>
      <c r="N152" s="38"/>
      <c r="O152" s="2"/>
    </row>
    <row r="153" spans="1:15" ht="15">
      <c r="A153" s="161"/>
      <c r="I153" s="38"/>
      <c r="M153" s="38"/>
      <c r="N153" s="38"/>
      <c r="O153" s="2"/>
    </row>
    <row r="154" spans="1:15" ht="15">
      <c r="A154" s="162"/>
      <c r="I154" s="38"/>
      <c r="M154" s="38"/>
      <c r="N154" s="38"/>
      <c r="O154" s="2"/>
    </row>
    <row r="155" spans="1:15" ht="15">
      <c r="A155" s="162"/>
      <c r="K155" s="2"/>
      <c r="L155" s="2"/>
      <c r="M155" s="2"/>
      <c r="N155" s="2"/>
      <c r="O155" s="2"/>
    </row>
    <row r="156" spans="1:15" ht="15">
      <c r="A156" s="162"/>
      <c r="B156" s="161"/>
      <c r="C156" s="161"/>
      <c r="D156" s="161"/>
      <c r="K156" s="2"/>
      <c r="L156" s="2"/>
      <c r="M156" s="2"/>
      <c r="N156" s="2"/>
      <c r="O156" s="2"/>
    </row>
    <row r="157" spans="1:15" ht="15">
      <c r="A157" s="162"/>
      <c r="B157" s="161"/>
      <c r="C157" s="161"/>
      <c r="D157" s="161"/>
      <c r="K157" s="2"/>
      <c r="L157" s="2"/>
      <c r="M157" s="2"/>
      <c r="N157" s="2"/>
      <c r="O157" s="2"/>
    </row>
    <row r="158" spans="1:15" ht="15">
      <c r="A158" s="162"/>
      <c r="B158" s="161"/>
      <c r="C158" s="161"/>
      <c r="D158" s="161"/>
      <c r="K158" s="2"/>
      <c r="L158" s="2"/>
      <c r="M158" s="2"/>
      <c r="N158" s="2"/>
      <c r="O158" s="2"/>
    </row>
    <row r="159" spans="1:15" ht="15">
      <c r="A159" s="162"/>
      <c r="B159" s="161"/>
      <c r="C159" s="161"/>
      <c r="D159" s="161"/>
      <c r="K159" s="2"/>
      <c r="L159" s="2"/>
      <c r="M159" s="2"/>
      <c r="N159" s="2"/>
      <c r="O159" s="2"/>
    </row>
    <row r="160" spans="2:15" ht="15">
      <c r="B160" s="162"/>
      <c r="C160" s="162"/>
      <c r="D160" s="162"/>
      <c r="K160" s="2"/>
      <c r="L160" s="2"/>
      <c r="M160" s="2"/>
      <c r="N160" s="2"/>
      <c r="O160" s="2"/>
    </row>
    <row r="161" spans="2:15" ht="15">
      <c r="B161" s="162"/>
      <c r="C161" s="162"/>
      <c r="D161" s="162"/>
      <c r="K161" s="2"/>
      <c r="L161" s="2"/>
      <c r="M161" s="2"/>
      <c r="N161" s="2"/>
      <c r="O161" s="2"/>
    </row>
    <row r="162" spans="2:15" ht="15">
      <c r="B162" s="162"/>
      <c r="C162" s="162"/>
      <c r="D162" s="162"/>
      <c r="K162" s="2"/>
      <c r="L162" s="2"/>
      <c r="M162" s="2"/>
      <c r="N162" s="2"/>
      <c r="O162" s="2"/>
    </row>
    <row r="163" spans="2:15" ht="15">
      <c r="B163" s="162"/>
      <c r="C163" s="162"/>
      <c r="D163" s="162"/>
      <c r="K163" s="2"/>
      <c r="L163" s="2"/>
      <c r="M163" s="2"/>
      <c r="N163" s="2"/>
      <c r="O163" s="2"/>
    </row>
    <row r="164" spans="2:15" ht="15">
      <c r="B164" s="162"/>
      <c r="C164" s="162"/>
      <c r="D164" s="162"/>
      <c r="K164" s="2"/>
      <c r="L164" s="2"/>
      <c r="M164" s="2"/>
      <c r="N164" s="2"/>
      <c r="O164" s="2"/>
    </row>
    <row r="165" spans="2:15" ht="15">
      <c r="B165" s="162"/>
      <c r="C165" s="162"/>
      <c r="D165" s="162"/>
      <c r="K165" s="2"/>
      <c r="L165" s="2"/>
      <c r="M165" s="2"/>
      <c r="N165" s="2"/>
      <c r="O165" s="2"/>
    </row>
    <row r="166" spans="11:15" ht="15">
      <c r="K166" s="2"/>
      <c r="L166" s="2"/>
      <c r="M166" s="2"/>
      <c r="N166" s="2"/>
      <c r="O166" s="2"/>
    </row>
    <row r="167" spans="11:15" ht="15">
      <c r="K167" s="2"/>
      <c r="L167" s="2"/>
      <c r="M167" s="2"/>
      <c r="N167" s="2"/>
      <c r="O167" s="2"/>
    </row>
    <row r="168" spans="11:15" ht="15">
      <c r="K168" s="2"/>
      <c r="L168" s="2"/>
      <c r="M168" s="2"/>
      <c r="N168" s="2"/>
      <c r="O168" s="2"/>
    </row>
    <row r="169" spans="11:15" ht="15">
      <c r="K169" s="2"/>
      <c r="L169" s="2"/>
      <c r="M169" s="2"/>
      <c r="N169" s="2"/>
      <c r="O169" s="2"/>
    </row>
    <row r="170" spans="11:15" ht="15">
      <c r="K170" s="2"/>
      <c r="L170" s="2"/>
      <c r="M170" s="2"/>
      <c r="N170" s="2"/>
      <c r="O170" s="2"/>
    </row>
    <row r="171" spans="11:15" ht="15">
      <c r="K171" s="2"/>
      <c r="L171" s="2"/>
      <c r="M171" s="2"/>
      <c r="N171" s="2"/>
      <c r="O171" s="2"/>
    </row>
    <row r="172" spans="11:15" ht="15">
      <c r="K172" s="2"/>
      <c r="L172" s="2"/>
      <c r="M172" s="2"/>
      <c r="N172" s="2"/>
      <c r="O172" s="2"/>
    </row>
    <row r="173" spans="11:15" ht="15">
      <c r="K173" s="2"/>
      <c r="L173" s="2"/>
      <c r="M173" s="2"/>
      <c r="N173" s="2"/>
      <c r="O173" s="2"/>
    </row>
    <row r="174" spans="11:15" ht="15">
      <c r="K174" s="2"/>
      <c r="L174" s="2"/>
      <c r="M174" s="2"/>
      <c r="N174" s="2"/>
      <c r="O174" s="2"/>
    </row>
    <row r="175" spans="11:15" ht="15">
      <c r="K175" s="2"/>
      <c r="L175" s="2"/>
      <c r="M175" s="2"/>
      <c r="N175" s="2"/>
      <c r="O175" s="2"/>
    </row>
    <row r="176" spans="11:15" ht="15">
      <c r="K176" s="2"/>
      <c r="L176" s="2"/>
      <c r="M176" s="2"/>
      <c r="N176" s="2"/>
      <c r="O176" s="2"/>
    </row>
    <row r="177" spans="11:15" ht="15">
      <c r="K177" s="2"/>
      <c r="L177" s="2"/>
      <c r="M177" s="2"/>
      <c r="N177" s="2"/>
      <c r="O177" s="2"/>
    </row>
    <row r="178" spans="11:15" ht="15">
      <c r="K178" s="2"/>
      <c r="L178" s="2"/>
      <c r="M178" s="2"/>
      <c r="N178" s="2"/>
      <c r="O178" s="2"/>
    </row>
    <row r="179" spans="11:15" ht="15">
      <c r="K179" s="2"/>
      <c r="L179" s="2"/>
      <c r="M179" s="2"/>
      <c r="N179" s="2"/>
      <c r="O179" s="2"/>
    </row>
    <row r="180" spans="11:15" ht="15">
      <c r="K180" s="2"/>
      <c r="L180" s="2"/>
      <c r="M180" s="2"/>
      <c r="N180" s="2"/>
      <c r="O180" s="2"/>
    </row>
    <row r="181" spans="11:15" ht="15">
      <c r="K181" s="2"/>
      <c r="L181" s="2"/>
      <c r="M181" s="2"/>
      <c r="N181" s="2"/>
      <c r="O181" s="2"/>
    </row>
    <row r="182" spans="11:15" ht="15">
      <c r="K182" s="2"/>
      <c r="L182" s="2"/>
      <c r="M182" s="2"/>
      <c r="N182" s="2"/>
      <c r="O182" s="2"/>
    </row>
    <row r="183" spans="11:15" ht="15">
      <c r="K183" s="2"/>
      <c r="L183" s="2"/>
      <c r="M183" s="2"/>
      <c r="N183" s="2"/>
      <c r="O183" s="2"/>
    </row>
    <row r="184" spans="11:15" ht="15">
      <c r="K184" s="2"/>
      <c r="L184" s="2"/>
      <c r="M184" s="2"/>
      <c r="N184" s="2"/>
      <c r="O184" s="2"/>
    </row>
    <row r="185" spans="11:15" ht="15">
      <c r="K185" s="2"/>
      <c r="L185" s="2"/>
      <c r="M185" s="2"/>
      <c r="N185" s="2"/>
      <c r="O185" s="2"/>
    </row>
    <row r="186" spans="11:15" ht="15">
      <c r="K186" s="2"/>
      <c r="L186" s="2"/>
      <c r="M186" s="2"/>
      <c r="N186" s="2"/>
      <c r="O186" s="2"/>
    </row>
    <row r="187" spans="11:15" ht="15">
      <c r="K187" s="2"/>
      <c r="L187" s="2"/>
      <c r="M187" s="2"/>
      <c r="N187" s="2"/>
      <c r="O187" s="2"/>
    </row>
    <row r="188" spans="11:15" ht="15">
      <c r="K188" s="2"/>
      <c r="L188" s="2"/>
      <c r="M188" s="2"/>
      <c r="N188" s="2"/>
      <c r="O188" s="2"/>
    </row>
    <row r="189" spans="11:15" ht="15">
      <c r="K189" s="2"/>
      <c r="L189" s="2"/>
      <c r="M189" s="2"/>
      <c r="N189" s="2"/>
      <c r="O189" s="2"/>
    </row>
    <row r="190" spans="11:15" ht="15">
      <c r="K190" s="2"/>
      <c r="L190" s="2"/>
      <c r="M190" s="2"/>
      <c r="N190" s="2"/>
      <c r="O190" s="2"/>
    </row>
    <row r="191" spans="11:15" ht="15">
      <c r="K191" s="2"/>
      <c r="L191" s="2"/>
      <c r="M191" s="2"/>
      <c r="N191" s="2"/>
      <c r="O191" s="2"/>
    </row>
    <row r="192" spans="11:15" ht="15">
      <c r="K192" s="2"/>
      <c r="L192" s="2"/>
      <c r="M192" s="2"/>
      <c r="N192" s="2"/>
      <c r="O192" s="2"/>
    </row>
    <row r="193" spans="11:15" ht="15">
      <c r="K193" s="2"/>
      <c r="L193" s="2"/>
      <c r="M193" s="2"/>
      <c r="N193" s="2"/>
      <c r="O193" s="2"/>
    </row>
    <row r="194" spans="11:15" ht="15">
      <c r="K194" s="2"/>
      <c r="L194" s="2"/>
      <c r="M194" s="2"/>
      <c r="N194" s="2"/>
      <c r="O194" s="2"/>
    </row>
    <row r="195" spans="11:15" ht="15">
      <c r="K195" s="2"/>
      <c r="L195" s="2"/>
      <c r="M195" s="2"/>
      <c r="N195" s="2"/>
      <c r="O195" s="2"/>
    </row>
    <row r="196" spans="11:15" ht="15">
      <c r="K196" s="2"/>
      <c r="L196" s="2"/>
      <c r="M196" s="2"/>
      <c r="N196" s="2"/>
      <c r="O196" s="2"/>
    </row>
    <row r="197" spans="11:15" ht="15">
      <c r="K197" s="2"/>
      <c r="L197" s="2"/>
      <c r="M197" s="2"/>
      <c r="N197" s="2"/>
      <c r="O197" s="2"/>
    </row>
    <row r="198" spans="11:15" ht="15">
      <c r="K198" s="2"/>
      <c r="L198" s="2"/>
      <c r="M198" s="2"/>
      <c r="N198" s="2"/>
      <c r="O198" s="2"/>
    </row>
    <row r="199" spans="11:15" ht="15">
      <c r="K199" s="2"/>
      <c r="L199" s="2"/>
      <c r="M199" s="2"/>
      <c r="N199" s="2"/>
      <c r="O199" s="2"/>
    </row>
    <row r="200" spans="11:15" ht="15">
      <c r="K200" s="2"/>
      <c r="L200" s="2"/>
      <c r="M200" s="2"/>
      <c r="N200" s="2"/>
      <c r="O200" s="2"/>
    </row>
    <row r="201" spans="11:15" ht="15">
      <c r="K201" s="2"/>
      <c r="L201" s="2"/>
      <c r="M201" s="2"/>
      <c r="N201" s="2"/>
      <c r="O201" s="2"/>
    </row>
    <row r="202" spans="11:15" ht="15">
      <c r="K202" s="2"/>
      <c r="L202" s="2"/>
      <c r="M202" s="2"/>
      <c r="N202" s="2"/>
      <c r="O202" s="2"/>
    </row>
    <row r="203" spans="11:15" ht="15">
      <c r="K203" s="2"/>
      <c r="L203" s="2"/>
      <c r="M203" s="2"/>
      <c r="N203" s="2"/>
      <c r="O203" s="2"/>
    </row>
    <row r="204" spans="11:15" ht="15">
      <c r="K204" s="2"/>
      <c r="L204" s="2"/>
      <c r="M204" s="2"/>
      <c r="N204" s="2"/>
      <c r="O204" s="2"/>
    </row>
    <row r="205" spans="11:15" ht="15">
      <c r="K205" s="2"/>
      <c r="L205" s="2"/>
      <c r="M205" s="2"/>
      <c r="N205" s="2"/>
      <c r="O205" s="2"/>
    </row>
    <row r="206" spans="11:15" ht="15">
      <c r="K206" s="2"/>
      <c r="L206" s="2"/>
      <c r="M206" s="2"/>
      <c r="N206" s="2"/>
      <c r="O206" s="2"/>
    </row>
    <row r="207" spans="11:15" ht="15">
      <c r="K207" s="2"/>
      <c r="L207" s="2"/>
      <c r="M207" s="2"/>
      <c r="N207" s="2"/>
      <c r="O207" s="2"/>
    </row>
    <row r="208" spans="11:15" ht="15">
      <c r="K208" s="2"/>
      <c r="L208" s="2"/>
      <c r="M208" s="2"/>
      <c r="N208" s="2"/>
      <c r="O208" s="2"/>
    </row>
    <row r="209" spans="11:15" ht="15">
      <c r="K209" s="2"/>
      <c r="L209" s="2"/>
      <c r="M209" s="2"/>
      <c r="N209" s="2"/>
      <c r="O209" s="2"/>
    </row>
    <row r="210" spans="11:15" ht="15">
      <c r="K210" s="2"/>
      <c r="L210" s="2"/>
      <c r="M210" s="2"/>
      <c r="N210" s="2"/>
      <c r="O210" s="2"/>
    </row>
    <row r="211" spans="11:15" ht="15">
      <c r="K211" s="2"/>
      <c r="L211" s="2"/>
      <c r="M211" s="2"/>
      <c r="N211" s="2"/>
      <c r="O211" s="2"/>
    </row>
    <row r="212" spans="11:15" ht="15">
      <c r="K212" s="2"/>
      <c r="L212" s="2"/>
      <c r="M212" s="2"/>
      <c r="N212" s="2"/>
      <c r="O212" s="2"/>
    </row>
    <row r="213" spans="11:15" ht="15">
      <c r="K213" s="2"/>
      <c r="L213" s="2"/>
      <c r="M213" s="2"/>
      <c r="N213" s="2"/>
      <c r="O213" s="2"/>
    </row>
    <row r="214" spans="11:15" ht="15">
      <c r="K214" s="2"/>
      <c r="L214" s="2"/>
      <c r="M214" s="2"/>
      <c r="N214" s="2"/>
      <c r="O214" s="2"/>
    </row>
    <row r="215" spans="11:15" ht="15">
      <c r="K215" s="2"/>
      <c r="L215" s="2"/>
      <c r="M215" s="2"/>
      <c r="N215" s="2"/>
      <c r="O215" s="2"/>
    </row>
    <row r="216" spans="11:15" ht="15">
      <c r="K216" s="2"/>
      <c r="L216" s="2"/>
      <c r="M216" s="2"/>
      <c r="N216" s="2"/>
      <c r="O216" s="2"/>
    </row>
    <row r="217" spans="11:15" ht="15">
      <c r="K217" s="2"/>
      <c r="L217" s="2"/>
      <c r="M217" s="2"/>
      <c r="N217" s="2"/>
      <c r="O217" s="2"/>
    </row>
    <row r="218" spans="11:15" ht="15">
      <c r="K218" s="2"/>
      <c r="L218" s="2"/>
      <c r="M218" s="2"/>
      <c r="N218" s="2"/>
      <c r="O218" s="2"/>
    </row>
    <row r="219" spans="11:15" ht="15">
      <c r="K219" s="2"/>
      <c r="L219" s="2"/>
      <c r="M219" s="2"/>
      <c r="N219" s="2"/>
      <c r="O219" s="2"/>
    </row>
    <row r="220" spans="11:15" ht="15">
      <c r="K220" s="2"/>
      <c r="L220" s="2"/>
      <c r="M220" s="2"/>
      <c r="N220" s="2"/>
      <c r="O220" s="2"/>
    </row>
    <row r="221" spans="11:15" ht="15">
      <c r="K221" s="2"/>
      <c r="L221" s="2"/>
      <c r="M221" s="2"/>
      <c r="N221" s="2"/>
      <c r="O221" s="2"/>
    </row>
    <row r="222" spans="11:15" ht="15">
      <c r="K222" s="2"/>
      <c r="L222" s="2"/>
      <c r="M222" s="2"/>
      <c r="N222" s="2"/>
      <c r="O222" s="2"/>
    </row>
    <row r="223" spans="11:15" ht="15">
      <c r="K223" s="2"/>
      <c r="L223" s="2"/>
      <c r="M223" s="2"/>
      <c r="N223" s="2"/>
      <c r="O223" s="2"/>
    </row>
    <row r="224" spans="11:15" ht="15">
      <c r="K224" s="2"/>
      <c r="L224" s="2"/>
      <c r="M224" s="2"/>
      <c r="N224" s="2"/>
      <c r="O224" s="2"/>
    </row>
    <row r="225" spans="11:15" ht="15">
      <c r="K225" s="2"/>
      <c r="L225" s="2"/>
      <c r="M225" s="2"/>
      <c r="N225" s="2"/>
      <c r="O225" s="2"/>
    </row>
    <row r="226" spans="11:15" ht="15">
      <c r="K226" s="2"/>
      <c r="L226" s="2"/>
      <c r="M226" s="2"/>
      <c r="N226" s="2"/>
      <c r="O226" s="2"/>
    </row>
    <row r="227" spans="11:15" ht="15">
      <c r="K227" s="2"/>
      <c r="L227" s="2"/>
      <c r="M227" s="2"/>
      <c r="N227" s="2"/>
      <c r="O227" s="2"/>
    </row>
    <row r="228" spans="11:15" ht="15">
      <c r="K228" s="2"/>
      <c r="L228" s="2"/>
      <c r="M228" s="2"/>
      <c r="N228" s="2"/>
      <c r="O228" s="2"/>
    </row>
    <row r="229" spans="11:15" ht="15">
      <c r="K229" s="2"/>
      <c r="L229" s="2"/>
      <c r="M229" s="2"/>
      <c r="N229" s="2"/>
      <c r="O229" s="2"/>
    </row>
    <row r="230" spans="11:15" ht="15">
      <c r="K230" s="2"/>
      <c r="L230" s="2"/>
      <c r="M230" s="2"/>
      <c r="N230" s="2"/>
      <c r="O230" s="2"/>
    </row>
    <row r="231" spans="11:15" ht="15">
      <c r="K231" s="2"/>
      <c r="L231" s="2"/>
      <c r="M231" s="2"/>
      <c r="N231" s="2"/>
      <c r="O231" s="2"/>
    </row>
    <row r="232" spans="11:15" ht="15">
      <c r="K232" s="2"/>
      <c r="L232" s="2"/>
      <c r="M232" s="2"/>
      <c r="N232" s="2"/>
      <c r="O232" s="2"/>
    </row>
    <row r="233" spans="11:15" ht="15">
      <c r="K233" s="2"/>
      <c r="L233" s="2"/>
      <c r="M233" s="2"/>
      <c r="N233" s="2"/>
      <c r="O233" s="2"/>
    </row>
    <row r="234" spans="11:15" ht="15">
      <c r="K234" s="2"/>
      <c r="L234" s="2"/>
      <c r="M234" s="2"/>
      <c r="N234" s="2"/>
      <c r="O234" s="2"/>
    </row>
    <row r="235" spans="11:15" ht="15">
      <c r="K235" s="2"/>
      <c r="L235" s="2"/>
      <c r="M235" s="2"/>
      <c r="N235" s="2"/>
      <c r="O235" s="2"/>
    </row>
    <row r="236" spans="11:15" ht="15">
      <c r="K236" s="2"/>
      <c r="L236" s="2"/>
      <c r="M236" s="2"/>
      <c r="N236" s="2"/>
      <c r="O236" s="2"/>
    </row>
    <row r="237" spans="11:15" ht="15">
      <c r="K237" s="2"/>
      <c r="L237" s="2"/>
      <c r="M237" s="2"/>
      <c r="N237" s="2"/>
      <c r="O237" s="2"/>
    </row>
    <row r="238" spans="11:15" ht="15">
      <c r="K238" s="2"/>
      <c r="L238" s="2"/>
      <c r="M238" s="2"/>
      <c r="N238" s="2"/>
      <c r="O238" s="2"/>
    </row>
    <row r="239" spans="11:15" ht="15">
      <c r="K239" s="2"/>
      <c r="L239" s="2"/>
      <c r="M239" s="2"/>
      <c r="N239" s="2"/>
      <c r="O239" s="2"/>
    </row>
    <row r="240" spans="11:15" ht="15">
      <c r="K240" s="2"/>
      <c r="L240" s="2"/>
      <c r="M240" s="2"/>
      <c r="N240" s="2"/>
      <c r="O240" s="2"/>
    </row>
    <row r="241" spans="11:15" ht="15">
      <c r="K241" s="2"/>
      <c r="L241" s="2"/>
      <c r="M241" s="2"/>
      <c r="N241" s="2"/>
      <c r="O241" s="2"/>
    </row>
    <row r="242" spans="11:15" ht="15">
      <c r="K242" s="2"/>
      <c r="L242" s="2"/>
      <c r="M242" s="2"/>
      <c r="N242" s="2"/>
      <c r="O242" s="2"/>
    </row>
    <row r="243" spans="11:15" ht="15">
      <c r="K243" s="2"/>
      <c r="L243" s="2"/>
      <c r="M243" s="2"/>
      <c r="N243" s="2"/>
      <c r="O243" s="2"/>
    </row>
    <row r="244" spans="11:15" ht="15">
      <c r="K244" s="2"/>
      <c r="L244" s="2"/>
      <c r="M244" s="2"/>
      <c r="N244" s="2"/>
      <c r="O244" s="2"/>
    </row>
    <row r="245" spans="11:15" ht="15">
      <c r="K245" s="2"/>
      <c r="L245" s="2"/>
      <c r="M245" s="2"/>
      <c r="N245" s="2"/>
      <c r="O245" s="2"/>
    </row>
    <row r="246" spans="11:15" ht="15">
      <c r="K246" s="2"/>
      <c r="L246" s="2"/>
      <c r="M246" s="2"/>
      <c r="N246" s="2"/>
      <c r="O246" s="2"/>
    </row>
    <row r="247" spans="11:15" ht="15">
      <c r="K247" s="2"/>
      <c r="L247" s="2"/>
      <c r="M247" s="2"/>
      <c r="N247" s="2"/>
      <c r="O247" s="2"/>
    </row>
    <row r="248" spans="11:15" ht="15">
      <c r="K248" s="2"/>
      <c r="L248" s="2"/>
      <c r="M248" s="2"/>
      <c r="N248" s="2"/>
      <c r="O248" s="2"/>
    </row>
    <row r="249" spans="11:15" ht="15">
      <c r="K249" s="2"/>
      <c r="L249" s="2"/>
      <c r="M249" s="2"/>
      <c r="N249" s="2"/>
      <c r="O249" s="2"/>
    </row>
    <row r="250" spans="11:15" ht="15">
      <c r="K250" s="2"/>
      <c r="L250" s="2"/>
      <c r="M250" s="2"/>
      <c r="N250" s="2"/>
      <c r="O250" s="2"/>
    </row>
    <row r="251" spans="11:15" ht="15">
      <c r="K251" s="2"/>
      <c r="L251" s="2"/>
      <c r="M251" s="2"/>
      <c r="N251" s="2"/>
      <c r="O251" s="2"/>
    </row>
    <row r="252" spans="11:15" ht="15">
      <c r="K252" s="2"/>
      <c r="L252" s="2"/>
      <c r="M252" s="2"/>
      <c r="N252" s="2"/>
      <c r="O252" s="2"/>
    </row>
    <row r="253" spans="11:15" ht="15">
      <c r="K253" s="2"/>
      <c r="L253" s="2"/>
      <c r="M253" s="2"/>
      <c r="N253" s="2"/>
      <c r="O253" s="2"/>
    </row>
    <row r="254" spans="11:15" ht="15">
      <c r="K254" s="2"/>
      <c r="L254" s="2"/>
      <c r="M254" s="2"/>
      <c r="N254" s="2"/>
      <c r="O254" s="2"/>
    </row>
    <row r="255" spans="11:15" ht="15">
      <c r="K255" s="2"/>
      <c r="L255" s="2"/>
      <c r="M255" s="2"/>
      <c r="N255" s="2"/>
      <c r="O255" s="2"/>
    </row>
    <row r="256" spans="11:15" ht="15">
      <c r="K256" s="2"/>
      <c r="L256" s="2"/>
      <c r="M256" s="2"/>
      <c r="N256" s="2"/>
      <c r="O256" s="2"/>
    </row>
    <row r="257" spans="11:15" ht="15">
      <c r="K257" s="2"/>
      <c r="L257" s="2"/>
      <c r="M257" s="2"/>
      <c r="N257" s="2"/>
      <c r="O257" s="2"/>
    </row>
    <row r="258" spans="11:15" ht="15">
      <c r="K258" s="2"/>
      <c r="L258" s="2"/>
      <c r="M258" s="2"/>
      <c r="N258" s="2"/>
      <c r="O258" s="2"/>
    </row>
    <row r="259" spans="11:15" ht="15">
      <c r="K259" s="2"/>
      <c r="L259" s="2"/>
      <c r="M259" s="2"/>
      <c r="N259" s="2"/>
      <c r="O259" s="2"/>
    </row>
    <row r="260" spans="11:15" ht="15">
      <c r="K260" s="2"/>
      <c r="L260" s="2"/>
      <c r="M260" s="2"/>
      <c r="N260" s="2"/>
      <c r="O260" s="2"/>
    </row>
    <row r="261" spans="11:15" ht="15">
      <c r="K261" s="2"/>
      <c r="L261" s="2"/>
      <c r="M261" s="2"/>
      <c r="N261" s="2"/>
      <c r="O261" s="2"/>
    </row>
    <row r="262" spans="11:15" ht="15">
      <c r="K262" s="2"/>
      <c r="L262" s="2"/>
      <c r="M262" s="2"/>
      <c r="N262" s="2"/>
      <c r="O262" s="2"/>
    </row>
  </sheetData>
  <sheetProtection/>
  <mergeCells count="18">
    <mergeCell ref="U83:Z83"/>
    <mergeCell ref="W84:X84"/>
    <mergeCell ref="Y84:Z84"/>
    <mergeCell ref="I47:L47"/>
    <mergeCell ref="I48:J48"/>
    <mergeCell ref="K48:L48"/>
    <mergeCell ref="J60:L60"/>
    <mergeCell ref="D60:I60"/>
    <mergeCell ref="U84:V84"/>
    <mergeCell ref="U86:V86"/>
    <mergeCell ref="U87:V87"/>
    <mergeCell ref="W86:X86"/>
    <mergeCell ref="Y85:Z85"/>
    <mergeCell ref="U85:V85"/>
    <mergeCell ref="W85:X85"/>
    <mergeCell ref="W87:X87"/>
    <mergeCell ref="Y86:Z86"/>
    <mergeCell ref="Y87:Z87"/>
  </mergeCells>
  <conditionalFormatting sqref="U85:U87 W85:W87 Y85:Y87">
    <cfRule type="cellIs" priority="1" dxfId="0" operator="notEqual" stopIfTrue="1">
      <formula>"Spændvidde trapezplade OK"</formula>
    </cfRule>
  </conditionalFormatting>
  <conditionalFormatting sqref="E145:E150 H147:H150 B145:B150 E136:E141 H136:I141 N101:N104 I149:I154 B127:B132 N140:N143 I99:I104 B136:B141 D156:D158 H127:H132 B156:B158 N151:N154 I110:I115 N112:N115 B106:B115 D112:D115 H110:H113 H99:H102 B97:B102">
    <cfRule type="cellIs" priority="2" dxfId="0" operator="greaterThan" stopIfTrue="1">
      <formula>100</formula>
    </cfRule>
  </conditionalFormatting>
  <conditionalFormatting sqref="B160:B165 D160:D165 D122 B122 D117:D120 B117:B120">
    <cfRule type="cellIs" priority="3" dxfId="0" operator="lessThan" stopIfTrue="1">
      <formula>200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Grontmij | Carlbro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Vestergaard</dc:creator>
  <cp:keywords/>
  <dc:description/>
  <cp:lastModifiedBy>fhm.skandek.dk</cp:lastModifiedBy>
  <cp:lastPrinted>2009-06-04T11:33:41Z</cp:lastPrinted>
  <dcterms:created xsi:type="dcterms:W3CDTF">2008-04-24T12:10:15Z</dcterms:created>
  <dcterms:modified xsi:type="dcterms:W3CDTF">2010-04-08T11:47:36Z</dcterms:modified>
  <cp:category/>
  <cp:version/>
  <cp:contentType/>
  <cp:contentStatus/>
</cp:coreProperties>
</file>